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Programma\Projecten\21GRD06 MetCCUS\WP1\Task 1.2 Intercomparison\Results from partners\"/>
    </mc:Choice>
  </mc:AlternateContent>
  <xr:revisionPtr revIDLastSave="0" documentId="13_ncr:1_{FA79448D-6F52-4B6F-94C6-55E3EA4E5E88}" xr6:coauthVersionLast="47" xr6:coauthVersionMax="47" xr10:uidLastSave="{00000000-0000-0000-0000-000000000000}"/>
  <bookViews>
    <workbookView xWindow="22932" yWindow="-12" windowWidth="23256" windowHeight="12456" tabRatio="681" activeTab="4" xr2:uid="{D99C5495-B9BE-4523-9997-C14F0ED93F86}"/>
  </bookViews>
  <sheets>
    <sheet name="Data" sheetId="13" r:id="rId1"/>
    <sheet name="VSL Densities" sheetId="22" r:id="rId2"/>
    <sheet name=" Error MUT" sheetId="20" r:id="rId3"/>
    <sheet name=" Error MUT (low flow)" sheetId="14" r:id="rId4"/>
    <sheet name="En" sheetId="15" r:id="rId5"/>
    <sheet name="En (low flow)" sheetId="21" r:id="rId6"/>
    <sheet name="En (VSL-INRIM)" sheetId="24" r:id="rId7"/>
    <sheet name="Sheet2" sheetId="16" r:id="rId8"/>
    <sheet name="Factory Cal Cert" sheetId="17" r:id="rId9"/>
  </sheets>
  <externalReferences>
    <externalReference r:id="rId10"/>
  </externalReferences>
  <definedNames>
    <definedName name="solver_adj" localSheetId="0" hidden="1">Data!#REF!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Data!#REF!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N67" i="13" l="1"/>
  <c r="BT67" i="13"/>
  <c r="AY64" i="13"/>
  <c r="AY67" i="13"/>
  <c r="AY70" i="13"/>
  <c r="AY73" i="13"/>
  <c r="AY61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13" i="13"/>
  <c r="F8" i="22" a="1"/>
  <c r="F8" i="22" l="1"/>
  <c r="Z75" i="13"/>
  <c r="Z74" i="13"/>
  <c r="Z73" i="13"/>
  <c r="Z72" i="13"/>
  <c r="Z71" i="13"/>
  <c r="Z70" i="13"/>
  <c r="Z69" i="13"/>
  <c r="Z68" i="13"/>
  <c r="Z67" i="13"/>
  <c r="Z66" i="13"/>
  <c r="Z65" i="13"/>
  <c r="Z64" i="13"/>
  <c r="Z63" i="13"/>
  <c r="Z62" i="13"/>
  <c r="Z61" i="13"/>
  <c r="D21" i="22" l="1"/>
  <c r="D22" i="22"/>
  <c r="D23" i="22"/>
  <c r="D24" i="22"/>
  <c r="D25" i="22"/>
  <c r="D26" i="22"/>
  <c r="D27" i="22"/>
  <c r="D28" i="22"/>
  <c r="D29" i="22"/>
  <c r="D30" i="22"/>
  <c r="D31" i="22"/>
  <c r="D32" i="22"/>
  <c r="D33" i="22"/>
  <c r="D34" i="22"/>
  <c r="D35" i="22"/>
  <c r="D3" i="22"/>
  <c r="D4" i="22"/>
  <c r="D5" i="22"/>
  <c r="D6" i="22"/>
  <c r="D7" i="22"/>
  <c r="D8" i="22"/>
  <c r="D9" i="22"/>
  <c r="D10" i="22"/>
  <c r="D11" i="22"/>
  <c r="D12" i="22"/>
  <c r="D13" i="22"/>
  <c r="D14" i="22"/>
  <c r="D15" i="22"/>
  <c r="D16" i="22"/>
  <c r="D17" i="22"/>
  <c r="D18" i="22"/>
  <c r="D19" i="22"/>
  <c r="D2" i="22"/>
  <c r="F29" i="22" a="1"/>
  <c r="F34" i="22" a="1"/>
  <c r="F35" i="22" a="1"/>
  <c r="F28" i="22" a="1"/>
  <c r="F3" i="22" a="1"/>
  <c r="F10" i="22" a="1"/>
  <c r="F2" i="22" a="1"/>
  <c r="F33" i="22" a="1"/>
  <c r="F27" i="22" a="1"/>
  <c r="F19" i="22" a="1"/>
  <c r="F14" i="22" a="1"/>
  <c r="F9" i="22" a="1"/>
  <c r="F6" i="22" a="1"/>
  <c r="F26" i="22" a="1"/>
  <c r="F11" i="22" a="1"/>
  <c r="F17" i="22" a="1"/>
  <c r="F31" i="22" a="1"/>
  <c r="F4" i="22" a="1"/>
  <c r="F24" i="22" a="1"/>
  <c r="F21" i="22" a="1"/>
  <c r="F7" i="22" a="1"/>
  <c r="F18" i="22" a="1"/>
  <c r="F22" i="22" a="1"/>
  <c r="F32" i="22" a="1"/>
  <c r="F13" i="22" a="1"/>
  <c r="F16" i="22" a="1"/>
  <c r="F12" i="22" a="1"/>
  <c r="F5" i="22" a="1"/>
  <c r="F30" i="22" a="1"/>
  <c r="F25" i="22" a="1"/>
  <c r="F23" i="22" a="1"/>
  <c r="F15" i="22" a="1"/>
  <c r="F28" i="22" l="1"/>
  <c r="F29" i="22"/>
  <c r="F27" i="22"/>
  <c r="F26" i="22"/>
  <c r="F25" i="22"/>
  <c r="F35" i="22"/>
  <c r="F34" i="22"/>
  <c r="F24" i="22"/>
  <c r="F33" i="22"/>
  <c r="F22" i="22"/>
  <c r="F23" i="22"/>
  <c r="F32" i="22"/>
  <c r="F31" i="22"/>
  <c r="F21" i="22"/>
  <c r="F30" i="22"/>
  <c r="F7" i="22"/>
  <c r="F16" i="22"/>
  <c r="F15" i="22"/>
  <c r="F14" i="22"/>
  <c r="F3" i="22"/>
  <c r="F12" i="22"/>
  <c r="F11" i="22"/>
  <c r="F13" i="22"/>
  <c r="F17" i="22"/>
  <c r="F5" i="22"/>
  <c r="F10" i="22"/>
  <c r="F19" i="22"/>
  <c r="F9" i="22"/>
  <c r="F6" i="22"/>
  <c r="F4" i="22"/>
  <c r="F18" i="22"/>
  <c r="F2" i="22"/>
  <c r="C21" i="16" l="1"/>
  <c r="C20" i="16"/>
  <c r="BX85" i="13"/>
  <c r="BP85" i="13"/>
  <c r="BQ85" i="13" s="1"/>
  <c r="BK85" i="13"/>
  <c r="BK86" i="13"/>
  <c r="BK87" i="13"/>
  <c r="BF85" i="13"/>
  <c r="BF86" i="13"/>
  <c r="BF87" i="13"/>
  <c r="BK67" i="13"/>
  <c r="BK68" i="13"/>
  <c r="BK69" i="13"/>
  <c r="BK70" i="13"/>
  <c r="BK71" i="13"/>
  <c r="BK72" i="13"/>
  <c r="BF67" i="13"/>
  <c r="BF68" i="13"/>
  <c r="BF69" i="13"/>
  <c r="BF70" i="13"/>
  <c r="BF71" i="13"/>
  <c r="BF72" i="13"/>
  <c r="BL70" i="13" l="1"/>
  <c r="BL85" i="13"/>
  <c r="BL87" i="13"/>
  <c r="BU85" i="13"/>
  <c r="BL86" i="13"/>
  <c r="BO85" i="13" s="1"/>
  <c r="BL69" i="13"/>
  <c r="BL68" i="13"/>
  <c r="BO67" i="13" s="1"/>
  <c r="BL67" i="13"/>
  <c r="BL72" i="13"/>
  <c r="BL71" i="13"/>
  <c r="BK73" i="13"/>
  <c r="BK74" i="13"/>
  <c r="BK75" i="13"/>
  <c r="BK76" i="13"/>
  <c r="BK77" i="13"/>
  <c r="BK78" i="13"/>
  <c r="BU67" i="13"/>
  <c r="BU70" i="13"/>
  <c r="BF73" i="13"/>
  <c r="BF74" i="13"/>
  <c r="BF75" i="13"/>
  <c r="BF76" i="13"/>
  <c r="BF77" i="13"/>
  <c r="BF78" i="13"/>
  <c r="BK79" i="13"/>
  <c r="BL79" i="13" s="1"/>
  <c r="BK80" i="13"/>
  <c r="BK81" i="13"/>
  <c r="BF79" i="13"/>
  <c r="BF80" i="13"/>
  <c r="BF81" i="13"/>
  <c r="BK83" i="13"/>
  <c r="BK84" i="13"/>
  <c r="BK82" i="13"/>
  <c r="BF83" i="13"/>
  <c r="BF84" i="13"/>
  <c r="BF82" i="13"/>
  <c r="BL82" i="13" s="1"/>
  <c r="AX94" i="13"/>
  <c r="AX91" i="13"/>
  <c r="AX88" i="13"/>
  <c r="AX85" i="13"/>
  <c r="CG85" i="13" s="1"/>
  <c r="AX82" i="13"/>
  <c r="AX79" i="13"/>
  <c r="AX76" i="13"/>
  <c r="AX73" i="13"/>
  <c r="AX70" i="13"/>
  <c r="AX67" i="13"/>
  <c r="AX64" i="13"/>
  <c r="AX61" i="13"/>
  <c r="BX82" i="13"/>
  <c r="BP82" i="13"/>
  <c r="BQ82" i="13" s="1"/>
  <c r="BX79" i="13"/>
  <c r="CG79" i="13" s="1"/>
  <c r="BP79" i="13"/>
  <c r="BQ79" i="13" s="1"/>
  <c r="BX76" i="13"/>
  <c r="CG76" i="13" s="1"/>
  <c r="BP76" i="13"/>
  <c r="BQ76" i="13" s="1"/>
  <c r="BX73" i="13"/>
  <c r="BP73" i="13"/>
  <c r="BQ73" i="13" s="1"/>
  <c r="BX70" i="13"/>
  <c r="BP70" i="13"/>
  <c r="BQ70" i="13" s="1"/>
  <c r="BX67" i="13"/>
  <c r="BP67" i="13"/>
  <c r="BQ67" i="13" s="1"/>
  <c r="BK13" i="13"/>
  <c r="BK14" i="13"/>
  <c r="BK15" i="13"/>
  <c r="BK16" i="13"/>
  <c r="BK17" i="13"/>
  <c r="BK18" i="13"/>
  <c r="BF13" i="13"/>
  <c r="BL13" i="13" s="1"/>
  <c r="BF14" i="13"/>
  <c r="BL14" i="13" s="1"/>
  <c r="BF15" i="13"/>
  <c r="BF16" i="13"/>
  <c r="BL16" i="13" s="1"/>
  <c r="BF17" i="13"/>
  <c r="BF18" i="13"/>
  <c r="BK19" i="13"/>
  <c r="BK20" i="13"/>
  <c r="BL20" i="13" s="1"/>
  <c r="BK21" i="13"/>
  <c r="BF19" i="13"/>
  <c r="BL19" i="13" s="1"/>
  <c r="BF20" i="13"/>
  <c r="BF21" i="13"/>
  <c r="BK22" i="13"/>
  <c r="BK23" i="13"/>
  <c r="BK24" i="13"/>
  <c r="BF22" i="13"/>
  <c r="BF23" i="13"/>
  <c r="BF24" i="13"/>
  <c r="BK25" i="13"/>
  <c r="BK26" i="13"/>
  <c r="BK27" i="13"/>
  <c r="BF25" i="13"/>
  <c r="BL25" i="13" s="1"/>
  <c r="BF26" i="13"/>
  <c r="BF27" i="13"/>
  <c r="BK28" i="13"/>
  <c r="BK29" i="13"/>
  <c r="BK30" i="13"/>
  <c r="BF28" i="13"/>
  <c r="BF29" i="13"/>
  <c r="BF30" i="13"/>
  <c r="BF31" i="13"/>
  <c r="BF32" i="13"/>
  <c r="BF33" i="13"/>
  <c r="BK31" i="13"/>
  <c r="BL31" i="13" s="1"/>
  <c r="BK32" i="13"/>
  <c r="BK33" i="13"/>
  <c r="BK34" i="13"/>
  <c r="BK35" i="13"/>
  <c r="BK36" i="13"/>
  <c r="BF34" i="13"/>
  <c r="BF35" i="13"/>
  <c r="BL35" i="13" s="1"/>
  <c r="BF36" i="13"/>
  <c r="BK37" i="13"/>
  <c r="BK38" i="13"/>
  <c r="BK39" i="13"/>
  <c r="BF37" i="13"/>
  <c r="BL37" i="13" s="1"/>
  <c r="BF38" i="13"/>
  <c r="BF39" i="13"/>
  <c r="BL39" i="13" s="1"/>
  <c r="BK40" i="13"/>
  <c r="BK41" i="13"/>
  <c r="BK42" i="13"/>
  <c r="BF40" i="13"/>
  <c r="BF41" i="13"/>
  <c r="BF42" i="13"/>
  <c r="BL24" i="13"/>
  <c r="BK43" i="13"/>
  <c r="BK44" i="13"/>
  <c r="BK45" i="13"/>
  <c r="BF43" i="13"/>
  <c r="BF44" i="13"/>
  <c r="BF45" i="13"/>
  <c r="BX43" i="13"/>
  <c r="AL13" i="13"/>
  <c r="BX16" i="13"/>
  <c r="BX19" i="13"/>
  <c r="BX22" i="13"/>
  <c r="BX25" i="13"/>
  <c r="BX28" i="13"/>
  <c r="BX31" i="13"/>
  <c r="BX34" i="13"/>
  <c r="BX37" i="13"/>
  <c r="BX40" i="13"/>
  <c r="BX46" i="13"/>
  <c r="BP16" i="13"/>
  <c r="BQ16" i="13" s="1"/>
  <c r="BP19" i="13"/>
  <c r="BQ19" i="13" s="1"/>
  <c r="BP22" i="13"/>
  <c r="BQ22" i="13" s="1"/>
  <c r="BP25" i="13"/>
  <c r="BQ25" i="13" s="1"/>
  <c r="BP28" i="13"/>
  <c r="BQ28" i="13" s="1"/>
  <c r="BP31" i="13"/>
  <c r="BQ31" i="13" s="1"/>
  <c r="BP34" i="13"/>
  <c r="BQ34" i="13" s="1"/>
  <c r="BP37" i="13"/>
  <c r="BQ37" i="13"/>
  <c r="BP40" i="13"/>
  <c r="BQ40" i="13" s="1"/>
  <c r="BP43" i="13"/>
  <c r="BQ43" i="13" s="1"/>
  <c r="BP46" i="13"/>
  <c r="BQ46" i="13" s="1"/>
  <c r="BK48" i="13"/>
  <c r="BF48" i="13"/>
  <c r="BK47" i="13"/>
  <c r="BF47" i="13"/>
  <c r="BK46" i="13"/>
  <c r="BF46" i="13"/>
  <c r="S61" i="13"/>
  <c r="T61" i="13" s="1"/>
  <c r="V61" i="13"/>
  <c r="X61" i="13"/>
  <c r="S64" i="13"/>
  <c r="T64" i="13" s="1"/>
  <c r="V64" i="13"/>
  <c r="X64" i="13"/>
  <c r="S67" i="13"/>
  <c r="T67" i="13" s="1"/>
  <c r="V67" i="13"/>
  <c r="X67" i="13"/>
  <c r="S70" i="13"/>
  <c r="T70" i="13" s="1"/>
  <c r="V70" i="13"/>
  <c r="X70" i="13"/>
  <c r="S73" i="13"/>
  <c r="T73" i="13" s="1"/>
  <c r="V73" i="13"/>
  <c r="X73" i="13"/>
  <c r="O75" i="13"/>
  <c r="O74" i="13"/>
  <c r="O73" i="13"/>
  <c r="O72" i="13"/>
  <c r="O71" i="13"/>
  <c r="O70" i="13"/>
  <c r="O69" i="13"/>
  <c r="O68" i="13"/>
  <c r="O67" i="13"/>
  <c r="O66" i="13"/>
  <c r="O65" i="13"/>
  <c r="O64" i="13"/>
  <c r="O63" i="13"/>
  <c r="O62" i="13"/>
  <c r="O61" i="13"/>
  <c r="S13" i="13"/>
  <c r="T13" i="13" s="1"/>
  <c r="V13" i="13"/>
  <c r="X13" i="13"/>
  <c r="S16" i="13"/>
  <c r="T16" i="13" s="1"/>
  <c r="V16" i="13"/>
  <c r="X16" i="13"/>
  <c r="S19" i="13"/>
  <c r="T19" i="13" s="1"/>
  <c r="V19" i="13"/>
  <c r="X19" i="13"/>
  <c r="S22" i="13"/>
  <c r="T22" i="13" s="1"/>
  <c r="V22" i="13"/>
  <c r="X22" i="13"/>
  <c r="S25" i="13"/>
  <c r="T25" i="13" s="1"/>
  <c r="V25" i="13"/>
  <c r="X25" i="13"/>
  <c r="S28" i="13"/>
  <c r="T28" i="13" s="1"/>
  <c r="V28" i="13"/>
  <c r="X28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AX16" i="13"/>
  <c r="AX19" i="13"/>
  <c r="AX22" i="13"/>
  <c r="AX25" i="13"/>
  <c r="AX28" i="13"/>
  <c r="AX31" i="13"/>
  <c r="AX34" i="13"/>
  <c r="AX37" i="13"/>
  <c r="CG37" i="13" s="1"/>
  <c r="AX40" i="13"/>
  <c r="CG40" i="13" s="1"/>
  <c r="AX43" i="13"/>
  <c r="CG43" i="13" s="1"/>
  <c r="AX46" i="13"/>
  <c r="AX13" i="13"/>
  <c r="R67" i="13" l="1"/>
  <c r="U67" i="13" s="1"/>
  <c r="W67" i="13" s="1"/>
  <c r="BL21" i="13"/>
  <c r="BL38" i="13"/>
  <c r="BU34" i="13"/>
  <c r="Q28" i="13"/>
  <c r="BO19" i="13"/>
  <c r="BR19" i="13" s="1"/>
  <c r="Q25" i="13"/>
  <c r="BL83" i="13"/>
  <c r="BN82" i="13" s="1"/>
  <c r="BL73" i="13"/>
  <c r="BU82" i="13"/>
  <c r="BL81" i="13"/>
  <c r="BL29" i="13"/>
  <c r="BR67" i="13"/>
  <c r="CE67" i="13" s="1"/>
  <c r="CD67" i="13" s="1"/>
  <c r="BU16" i="13"/>
  <c r="BL23" i="13"/>
  <c r="BU31" i="13"/>
  <c r="AA25" i="13"/>
  <c r="CG25" i="13" s="1"/>
  <c r="BL33" i="13"/>
  <c r="BL22" i="13"/>
  <c r="BO22" i="13" s="1"/>
  <c r="BR22" i="13" s="1"/>
  <c r="BT22" i="13" s="1"/>
  <c r="BL32" i="13"/>
  <c r="BO31" i="13" s="1"/>
  <c r="BR31" i="13" s="1"/>
  <c r="BT31" i="13" s="1"/>
  <c r="CE31" i="13" s="1"/>
  <c r="BU73" i="13"/>
  <c r="Q13" i="13"/>
  <c r="BU25" i="13"/>
  <c r="BL30" i="13"/>
  <c r="BU43" i="13"/>
  <c r="BL18" i="13"/>
  <c r="BL34" i="13"/>
  <c r="BL17" i="13"/>
  <c r="BL84" i="13"/>
  <c r="BU46" i="13"/>
  <c r="BU19" i="13"/>
  <c r="BL27" i="13"/>
  <c r="AA64" i="13"/>
  <c r="CG64" i="13" s="1"/>
  <c r="BL26" i="13"/>
  <c r="BN25" i="13" s="1"/>
  <c r="BL15" i="13"/>
  <c r="Q73" i="13"/>
  <c r="BL36" i="13"/>
  <c r="CG82" i="13"/>
  <c r="CG46" i="13"/>
  <c r="Q22" i="13"/>
  <c r="AA16" i="13"/>
  <c r="CG16" i="13" s="1"/>
  <c r="R73" i="13"/>
  <c r="BU22" i="13"/>
  <c r="CG34" i="13"/>
  <c r="CG31" i="13"/>
  <c r="BR85" i="13"/>
  <c r="BT85" i="13" s="1"/>
  <c r="BU79" i="13"/>
  <c r="BL78" i="13"/>
  <c r="BL77" i="13"/>
  <c r="BL76" i="13"/>
  <c r="BO76" i="13" s="1"/>
  <c r="BR76" i="13" s="1"/>
  <c r="BT76" i="13" s="1"/>
  <c r="BL75" i="13"/>
  <c r="BN85" i="13"/>
  <c r="BL74" i="13"/>
  <c r="BO70" i="13"/>
  <c r="BU76" i="13"/>
  <c r="BN70" i="13"/>
  <c r="BL80" i="13"/>
  <c r="BO79" i="13" s="1"/>
  <c r="BO82" i="13"/>
  <c r="BR82" i="13" s="1"/>
  <c r="BT82" i="13" s="1"/>
  <c r="BN19" i="13"/>
  <c r="Q64" i="13"/>
  <c r="AA19" i="13"/>
  <c r="CG19" i="13" s="1"/>
  <c r="Q16" i="13"/>
  <c r="R28" i="13"/>
  <c r="U28" i="13" s="1"/>
  <c r="W28" i="13" s="1"/>
  <c r="AA70" i="13"/>
  <c r="CG70" i="13" s="1"/>
  <c r="BN37" i="13"/>
  <c r="Q19" i="13"/>
  <c r="AA67" i="13"/>
  <c r="CG67" i="13" s="1"/>
  <c r="R16" i="13"/>
  <c r="AA28" i="13"/>
  <c r="CG28" i="13" s="1"/>
  <c r="R70" i="13"/>
  <c r="U70" i="13" s="1"/>
  <c r="W70" i="13" s="1"/>
  <c r="Q67" i="13"/>
  <c r="R19" i="13"/>
  <c r="AA13" i="13"/>
  <c r="Q61" i="13"/>
  <c r="Q70" i="13"/>
  <c r="BU37" i="13"/>
  <c r="BU40" i="13"/>
  <c r="AA22" i="13"/>
  <c r="CG22" i="13" s="1"/>
  <c r="AA73" i="13"/>
  <c r="CG73" i="13" s="1"/>
  <c r="AA61" i="13"/>
  <c r="CG61" i="13" s="1"/>
  <c r="BL40" i="13"/>
  <c r="BL28" i="13"/>
  <c r="BU28" i="13"/>
  <c r="BL48" i="13"/>
  <c r="BL45" i="13"/>
  <c r="BL44" i="13"/>
  <c r="BL47" i="13"/>
  <c r="BL43" i="13"/>
  <c r="BL41" i="13"/>
  <c r="BL46" i="13"/>
  <c r="BO37" i="13"/>
  <c r="BL42" i="13"/>
  <c r="BT19" i="13"/>
  <c r="R13" i="13"/>
  <c r="R25" i="13"/>
  <c r="R64" i="13"/>
  <c r="R22" i="13"/>
  <c r="U22" i="13" s="1"/>
  <c r="W22" i="13" s="1"/>
  <c r="R61" i="13"/>
  <c r="U61" i="13" s="1"/>
  <c r="W61" i="13" s="1"/>
  <c r="BN28" i="13" l="1"/>
  <c r="BN79" i="13"/>
  <c r="BN73" i="13"/>
  <c r="BN31" i="13"/>
  <c r="CD31" i="13" s="1"/>
  <c r="BO28" i="13"/>
  <c r="BO16" i="13"/>
  <c r="BN40" i="13"/>
  <c r="BO34" i="13"/>
  <c r="BR34" i="13" s="1"/>
  <c r="BT34" i="13" s="1"/>
  <c r="CE34" i="13" s="1"/>
  <c r="BN22" i="13"/>
  <c r="BR16" i="13"/>
  <c r="BT16" i="13" s="1"/>
  <c r="CE16" i="13" s="1"/>
  <c r="BO25" i="13"/>
  <c r="BN16" i="13"/>
  <c r="BN34" i="13"/>
  <c r="BR37" i="13"/>
  <c r="BT37" i="13" s="1"/>
  <c r="CE37" i="13" s="1"/>
  <c r="CD37" i="13" s="1"/>
  <c r="BO40" i="13"/>
  <c r="BR28" i="13"/>
  <c r="BT28" i="13" s="1"/>
  <c r="CE28" i="13" s="1"/>
  <c r="CD28" i="13" s="1"/>
  <c r="U64" i="13"/>
  <c r="W64" i="13" s="1"/>
  <c r="CA64" i="13" s="1"/>
  <c r="U19" i="13"/>
  <c r="W19" i="13" s="1"/>
  <c r="CA19" i="13" s="1"/>
  <c r="BZ19" i="13" s="1"/>
  <c r="BN76" i="13"/>
  <c r="U13" i="13"/>
  <c r="W13" i="13" s="1"/>
  <c r="U73" i="13"/>
  <c r="W73" i="13" s="1"/>
  <c r="CA73" i="13" s="1"/>
  <c r="BZ73" i="13" s="1"/>
  <c r="BO43" i="13"/>
  <c r="U25" i="13"/>
  <c r="W25" i="13" s="1"/>
  <c r="CA25" i="13" s="1"/>
  <c r="U16" i="13"/>
  <c r="W16" i="13" s="1"/>
  <c r="CA16" i="13" s="1"/>
  <c r="BZ16" i="13" s="1"/>
  <c r="CE82" i="13"/>
  <c r="CE76" i="13"/>
  <c r="CE85" i="13"/>
  <c r="BO73" i="13"/>
  <c r="BR73" i="13" s="1"/>
  <c r="BT73" i="13" s="1"/>
  <c r="CE73" i="13" s="1"/>
  <c r="CD73" i="13" s="1"/>
  <c r="BR79" i="13"/>
  <c r="BT79" i="13" s="1"/>
  <c r="BR70" i="13"/>
  <c r="BT70" i="13" s="1"/>
  <c r="CE70" i="13" s="1"/>
  <c r="CD70" i="13" s="1"/>
  <c r="CE19" i="13"/>
  <c r="CD19" i="13" s="1"/>
  <c r="CE22" i="13"/>
  <c r="CD22" i="13" s="1"/>
  <c r="BN43" i="13"/>
  <c r="BN46" i="13"/>
  <c r="BO46" i="13"/>
  <c r="CA22" i="13"/>
  <c r="CA70" i="13"/>
  <c r="CA28" i="13"/>
  <c r="CA67" i="13"/>
  <c r="CA61" i="13"/>
  <c r="BZ61" i="13" s="1"/>
  <c r="CD16" i="13" l="1"/>
  <c r="CD34" i="13"/>
  <c r="CA13" i="13"/>
  <c r="BZ13" i="13" s="1"/>
  <c r="W9" i="13"/>
  <c r="E19" i="16" s="1"/>
  <c r="BR40" i="13"/>
  <c r="BT40" i="13" s="1"/>
  <c r="CE40" i="13" s="1"/>
  <c r="CD40" i="13" s="1"/>
  <c r="BR46" i="13"/>
  <c r="BT46" i="13" s="1"/>
  <c r="CE46" i="13" s="1"/>
  <c r="CD46" i="13" s="1"/>
  <c r="BR43" i="13"/>
  <c r="BT43" i="13" s="1"/>
  <c r="CE43" i="13" s="1"/>
  <c r="CD43" i="13" s="1"/>
  <c r="BR25" i="13"/>
  <c r="BT25" i="13" s="1"/>
  <c r="CE25" i="13" s="1"/>
  <c r="CD25" i="13" s="1"/>
  <c r="CE79" i="13"/>
  <c r="CD85" i="13"/>
  <c r="CD76" i="13"/>
  <c r="CD82" i="13"/>
  <c r="BZ70" i="13"/>
  <c r="BZ22" i="13"/>
  <c r="BZ67" i="13"/>
  <c r="BZ28" i="13"/>
  <c r="BZ64" i="13"/>
  <c r="BZ25" i="13"/>
  <c r="E13" i="16" l="1"/>
  <c r="CD79" i="13"/>
  <c r="BX13" i="13"/>
  <c r="CG13" i="13" s="1"/>
  <c r="AU13" i="13"/>
  <c r="BP13" i="13"/>
  <c r="BQ13" i="13" s="1"/>
  <c r="BU13" i="13"/>
  <c r="BO13" i="13" l="1"/>
  <c r="BN13" i="13"/>
  <c r="BR13" i="13" l="1"/>
  <c r="BT13" i="13" s="1"/>
  <c r="BT9" i="13" l="1"/>
  <c r="E21" i="16" s="1"/>
  <c r="CE13" i="13"/>
  <c r="CD13" i="13"/>
  <c r="E15" i="16" l="1"/>
  <c r="C15" i="16" l="1"/>
  <c r="C14" i="16"/>
  <c r="AL94" i="13"/>
  <c r="AL61" i="13"/>
  <c r="AL96" i="13"/>
  <c r="AL95" i="13"/>
  <c r="AU94" i="13"/>
  <c r="AS94" i="13"/>
  <c r="AP94" i="13"/>
  <c r="AQ94" i="13" s="1"/>
  <c r="AL93" i="13"/>
  <c r="AL92" i="13"/>
  <c r="AU91" i="13"/>
  <c r="AS91" i="13"/>
  <c r="AP91" i="13"/>
  <c r="AQ91" i="13" s="1"/>
  <c r="AL91" i="13"/>
  <c r="AL90" i="13"/>
  <c r="AL89" i="13"/>
  <c r="AU88" i="13"/>
  <c r="AS88" i="13"/>
  <c r="AP88" i="13"/>
  <c r="AQ88" i="13" s="1"/>
  <c r="AL88" i="13"/>
  <c r="AL87" i="13"/>
  <c r="AL86" i="13"/>
  <c r="AU85" i="13"/>
  <c r="AS85" i="13"/>
  <c r="AP85" i="13"/>
  <c r="AQ85" i="13" s="1"/>
  <c r="AL85" i="13"/>
  <c r="AL84" i="13"/>
  <c r="AL83" i="13"/>
  <c r="AU82" i="13"/>
  <c r="AS82" i="13"/>
  <c r="AP82" i="13"/>
  <c r="AQ82" i="13" s="1"/>
  <c r="AL82" i="13"/>
  <c r="AL81" i="13"/>
  <c r="AL80" i="13"/>
  <c r="AU79" i="13"/>
  <c r="AS79" i="13"/>
  <c r="AP79" i="13"/>
  <c r="AQ79" i="13" s="1"/>
  <c r="AL79" i="13"/>
  <c r="AL78" i="13"/>
  <c r="AL77" i="13"/>
  <c r="AU76" i="13"/>
  <c r="AS76" i="13"/>
  <c r="AP76" i="13"/>
  <c r="AQ76" i="13" s="1"/>
  <c r="AL76" i="13"/>
  <c r="AL75" i="13"/>
  <c r="AL74" i="13"/>
  <c r="AU73" i="13"/>
  <c r="AS73" i="13"/>
  <c r="AP73" i="13"/>
  <c r="AQ73" i="13" s="1"/>
  <c r="AL73" i="13"/>
  <c r="AL72" i="13"/>
  <c r="AL71" i="13"/>
  <c r="AU70" i="13"/>
  <c r="AS70" i="13"/>
  <c r="AP70" i="13"/>
  <c r="AQ70" i="13" s="1"/>
  <c r="AL70" i="13"/>
  <c r="AL69" i="13"/>
  <c r="AL68" i="13"/>
  <c r="AU67" i="13"/>
  <c r="AS67" i="13"/>
  <c r="AP67" i="13"/>
  <c r="AQ67" i="13" s="1"/>
  <c r="AL67" i="13"/>
  <c r="AL66" i="13"/>
  <c r="AL65" i="13"/>
  <c r="AU64" i="13"/>
  <c r="AS64" i="13"/>
  <c r="AP64" i="13"/>
  <c r="AQ64" i="13" s="1"/>
  <c r="AL64" i="13"/>
  <c r="AL63" i="13"/>
  <c r="AL62" i="13"/>
  <c r="AU61" i="13"/>
  <c r="AS61" i="13"/>
  <c r="AP61" i="13"/>
  <c r="AQ61" i="13" s="1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L26" i="13"/>
  <c r="AL27" i="13"/>
  <c r="AL28" i="13"/>
  <c r="AL29" i="13"/>
  <c r="AL30" i="13"/>
  <c r="AL31" i="13"/>
  <c r="AL32" i="13"/>
  <c r="AL33" i="13"/>
  <c r="AL34" i="13"/>
  <c r="AL35" i="13"/>
  <c r="AL36" i="13"/>
  <c r="AL37" i="13"/>
  <c r="AL38" i="13"/>
  <c r="AL39" i="13"/>
  <c r="AL40" i="13"/>
  <c r="AL41" i="13"/>
  <c r="AL42" i="13"/>
  <c r="AL43" i="13"/>
  <c r="AL44" i="13"/>
  <c r="AL45" i="13"/>
  <c r="AL46" i="13"/>
  <c r="AL47" i="13"/>
  <c r="AL48" i="13"/>
  <c r="AN13" i="13" l="1"/>
  <c r="AN94" i="13"/>
  <c r="AN76" i="13"/>
  <c r="AO94" i="13"/>
  <c r="AR94" i="13" s="1"/>
  <c r="AO82" i="13"/>
  <c r="AO70" i="13"/>
  <c r="AO85" i="13"/>
  <c r="AN64" i="13"/>
  <c r="AN73" i="13"/>
  <c r="AO64" i="13"/>
  <c r="AN85" i="13"/>
  <c r="AO61" i="13"/>
  <c r="AO67" i="13"/>
  <c r="AO73" i="13"/>
  <c r="AO79" i="13"/>
  <c r="AO91" i="13"/>
  <c r="AN67" i="13"/>
  <c r="AO76" i="13"/>
  <c r="AO88" i="13"/>
  <c r="AN61" i="13"/>
  <c r="AN91" i="13"/>
  <c r="AN88" i="13"/>
  <c r="AN82" i="13"/>
  <c r="AN79" i="13"/>
  <c r="AN70" i="13"/>
  <c r="AN46" i="13"/>
  <c r="AO46" i="13"/>
  <c r="AP46" i="13"/>
  <c r="AQ46" i="13" s="1"/>
  <c r="AS46" i="13"/>
  <c r="AU46" i="13"/>
  <c r="AN43" i="13"/>
  <c r="AO43" i="13"/>
  <c r="AP43" i="13"/>
  <c r="AQ43" i="13" s="1"/>
  <c r="AS43" i="13"/>
  <c r="AU43" i="13"/>
  <c r="AN40" i="13"/>
  <c r="AO40" i="13"/>
  <c r="AP40" i="13"/>
  <c r="AQ40" i="13" s="1"/>
  <c r="AS40" i="13"/>
  <c r="AU40" i="13"/>
  <c r="AN37" i="13"/>
  <c r="AO37" i="13"/>
  <c r="AP37" i="13"/>
  <c r="AQ37" i="13" s="1"/>
  <c r="AS37" i="13"/>
  <c r="AU37" i="13"/>
  <c r="AN34" i="13"/>
  <c r="AO34" i="13"/>
  <c r="AP34" i="13"/>
  <c r="AQ34" i="13" s="1"/>
  <c r="AS34" i="13"/>
  <c r="AU34" i="13"/>
  <c r="AN31" i="13"/>
  <c r="AO31" i="13"/>
  <c r="AP31" i="13"/>
  <c r="AQ31" i="13" s="1"/>
  <c r="AS31" i="13"/>
  <c r="AU31" i="13"/>
  <c r="AN28" i="13"/>
  <c r="AO28" i="13"/>
  <c r="AP28" i="13"/>
  <c r="AQ28" i="13" s="1"/>
  <c r="AS28" i="13"/>
  <c r="AU28" i="13"/>
  <c r="AN25" i="13"/>
  <c r="AO25" i="13"/>
  <c r="AP25" i="13"/>
  <c r="AQ25" i="13" s="1"/>
  <c r="AS25" i="13"/>
  <c r="AU25" i="13"/>
  <c r="AN22" i="13"/>
  <c r="AO22" i="13"/>
  <c r="AP22" i="13"/>
  <c r="AQ22" i="13" s="1"/>
  <c r="AS22" i="13"/>
  <c r="AU22" i="13"/>
  <c r="AN19" i="13"/>
  <c r="AO19" i="13"/>
  <c r="AP19" i="13"/>
  <c r="AQ19" i="13" s="1"/>
  <c r="AS19" i="13"/>
  <c r="AU19" i="13"/>
  <c r="AN16" i="13"/>
  <c r="AO16" i="13"/>
  <c r="AP16" i="13"/>
  <c r="AQ16" i="13" s="1"/>
  <c r="AS16" i="13"/>
  <c r="AU16" i="13"/>
  <c r="AS13" i="13"/>
  <c r="AP13" i="13"/>
  <c r="AQ13" i="13" s="1"/>
  <c r="AO13" i="13"/>
  <c r="AR13" i="13" s="1"/>
  <c r="AR91" i="13" l="1"/>
  <c r="AT91" i="13" s="1"/>
  <c r="AR76" i="13"/>
  <c r="AT76" i="13" s="1"/>
  <c r="AR79" i="13"/>
  <c r="AT79" i="13" s="1"/>
  <c r="AR88" i="13"/>
  <c r="AT88" i="13" s="1"/>
  <c r="AR73" i="13"/>
  <c r="AT73" i="13" s="1"/>
  <c r="CC73" i="13" s="1"/>
  <c r="AR67" i="13"/>
  <c r="AT67" i="13" s="1"/>
  <c r="CC67" i="13" s="1"/>
  <c r="AR16" i="13"/>
  <c r="AT16" i="13" s="1"/>
  <c r="AR43" i="13"/>
  <c r="AT43" i="13" s="1"/>
  <c r="AR61" i="13"/>
  <c r="AT61" i="13" s="1"/>
  <c r="CC61" i="13" s="1"/>
  <c r="CB61" i="13" s="1"/>
  <c r="AR64" i="13"/>
  <c r="AT64" i="13" s="1"/>
  <c r="CC64" i="13" s="1"/>
  <c r="AR28" i="13"/>
  <c r="AT28" i="13" s="1"/>
  <c r="AR31" i="13"/>
  <c r="AT31" i="13" s="1"/>
  <c r="AR46" i="13"/>
  <c r="AT46" i="13" s="1"/>
  <c r="CC46" i="13" s="1"/>
  <c r="CB46" i="13" s="1"/>
  <c r="CH46" i="13" s="1"/>
  <c r="AR85" i="13"/>
  <c r="AT85" i="13" s="1"/>
  <c r="AR70" i="13"/>
  <c r="AT70" i="13" s="1"/>
  <c r="CC70" i="13" s="1"/>
  <c r="AR82" i="13"/>
  <c r="AT82" i="13" s="1"/>
  <c r="AR40" i="13"/>
  <c r="AT40" i="13" s="1"/>
  <c r="AR22" i="13"/>
  <c r="AT22" i="13" s="1"/>
  <c r="AR19" i="13"/>
  <c r="AT19" i="13" s="1"/>
  <c r="AR25" i="13"/>
  <c r="AT25" i="13" s="1"/>
  <c r="AR37" i="13"/>
  <c r="AT37" i="13" s="1"/>
  <c r="AR34" i="13"/>
  <c r="AT34" i="13" s="1"/>
  <c r="AT13" i="13"/>
  <c r="AT94" i="13"/>
  <c r="CC85" i="13" l="1"/>
  <c r="CC79" i="13"/>
  <c r="CC82" i="13"/>
  <c r="CC76" i="13"/>
  <c r="AS9" i="13"/>
  <c r="CC13" i="13"/>
  <c r="E14" i="16"/>
  <c r="E20" i="16"/>
  <c r="CB67" i="13"/>
  <c r="CH67" i="13" s="1"/>
  <c r="CR67" i="13" s="1"/>
  <c r="CI67" i="13"/>
  <c r="CJ67" i="13" s="1"/>
  <c r="CS67" i="13" s="1"/>
  <c r="CC25" i="13"/>
  <c r="CC28" i="13"/>
  <c r="CB73" i="13"/>
  <c r="CH73" i="13" s="1"/>
  <c r="CR73" i="13" s="1"/>
  <c r="CI73" i="13"/>
  <c r="CJ73" i="13" s="1"/>
  <c r="CS73" i="13" s="1"/>
  <c r="CC22" i="13"/>
  <c r="CH61" i="13"/>
  <c r="CI61" i="13"/>
  <c r="CJ61" i="13" s="1"/>
  <c r="CB64" i="13"/>
  <c r="CH64" i="13" s="1"/>
  <c r="CI64" i="13"/>
  <c r="CJ64" i="13" s="1"/>
  <c r="CB70" i="13"/>
  <c r="CH70" i="13" s="1"/>
  <c r="CR70" i="13" s="1"/>
  <c r="CI70" i="13"/>
  <c r="CJ70" i="13" s="1"/>
  <c r="CS70" i="13" s="1"/>
  <c r="CC19" i="13"/>
  <c r="CC16" i="13"/>
  <c r="CC31" i="13"/>
  <c r="CC43" i="13"/>
  <c r="CB43" i="13" s="1"/>
  <c r="CC40" i="13"/>
  <c r="CB40" i="13" s="1"/>
  <c r="CC34" i="13"/>
  <c r="CB34" i="13" s="1"/>
  <c r="CC37" i="13"/>
  <c r="CB37" i="13" s="1"/>
  <c r="CT67" i="13" l="1"/>
  <c r="CT70" i="13"/>
  <c r="CB82" i="13"/>
  <c r="CH82" i="13" s="1"/>
  <c r="CI82" i="13"/>
  <c r="CJ82" i="13" s="1"/>
  <c r="CI13" i="13"/>
  <c r="CJ13" i="13" s="1"/>
  <c r="CM13" i="13" s="1"/>
  <c r="CB13" i="13"/>
  <c r="CH13" i="13" s="1"/>
  <c r="CB76" i="13"/>
  <c r="CH76" i="13" s="1"/>
  <c r="CI76" i="13"/>
  <c r="CJ76" i="13" s="1"/>
  <c r="CT73" i="13"/>
  <c r="CB79" i="13"/>
  <c r="CH79" i="13" s="1"/>
  <c r="CI79" i="13"/>
  <c r="CJ79" i="13" s="1"/>
  <c r="CB85" i="13"/>
  <c r="CH85" i="13" s="1"/>
  <c r="CI85" i="13"/>
  <c r="CJ85" i="13" s="1"/>
  <c r="CM73" i="13"/>
  <c r="CP73" i="13"/>
  <c r="CM70" i="13"/>
  <c r="CP70" i="13"/>
  <c r="CM67" i="13"/>
  <c r="CP67" i="13"/>
  <c r="CQ67" i="13" s="1"/>
  <c r="CL73" i="13"/>
  <c r="CN73" i="13" s="1"/>
  <c r="CO73" i="13"/>
  <c r="CB25" i="13"/>
  <c r="CH25" i="13" s="1"/>
  <c r="CR25" i="13" s="1"/>
  <c r="CI25" i="13"/>
  <c r="CJ25" i="13" s="1"/>
  <c r="CS25" i="13" s="1"/>
  <c r="CL70" i="13"/>
  <c r="CO70" i="13"/>
  <c r="CL64" i="13"/>
  <c r="CO64" i="13"/>
  <c r="CL67" i="13"/>
  <c r="CO67" i="13"/>
  <c r="CB19" i="13"/>
  <c r="CH19" i="13" s="1"/>
  <c r="CR19" i="13" s="1"/>
  <c r="CI19" i="13"/>
  <c r="CJ19" i="13" s="1"/>
  <c r="CS19" i="13" s="1"/>
  <c r="CM64" i="13"/>
  <c r="CP64" i="13"/>
  <c r="CM61" i="13"/>
  <c r="CP61" i="13"/>
  <c r="CI22" i="13"/>
  <c r="CJ22" i="13" s="1"/>
  <c r="CS22" i="13" s="1"/>
  <c r="CB22" i="13"/>
  <c r="CH22" i="13" s="1"/>
  <c r="CR22" i="13" s="1"/>
  <c r="CB16" i="13"/>
  <c r="CH16" i="13" s="1"/>
  <c r="CR16" i="13" s="1"/>
  <c r="CI16" i="13"/>
  <c r="CJ16" i="13" s="1"/>
  <c r="CS16" i="13" s="1"/>
  <c r="CB28" i="13"/>
  <c r="CH28" i="13" s="1"/>
  <c r="CR28" i="13" s="1"/>
  <c r="CI28" i="13"/>
  <c r="CJ28" i="13" s="1"/>
  <c r="CS28" i="13" s="1"/>
  <c r="CL61" i="13"/>
  <c r="CO61" i="13"/>
  <c r="CB31" i="13"/>
  <c r="CI46" i="13"/>
  <c r="CJ46" i="13" s="1"/>
  <c r="CI34" i="13"/>
  <c r="CJ34" i="13" s="1"/>
  <c r="CH34" i="13"/>
  <c r="CI37" i="13"/>
  <c r="CJ37" i="13" s="1"/>
  <c r="CH37" i="13"/>
  <c r="CS85" i="13" l="1"/>
  <c r="CP85" i="13"/>
  <c r="CR85" i="13"/>
  <c r="CT85" i="13" s="1"/>
  <c r="CO85" i="13"/>
  <c r="CQ85" i="13" s="1"/>
  <c r="CR13" i="13"/>
  <c r="CO13" i="13"/>
  <c r="CS76" i="13"/>
  <c r="CP76" i="13"/>
  <c r="CS79" i="13"/>
  <c r="CP79" i="13"/>
  <c r="CR76" i="13"/>
  <c r="CT76" i="13" s="1"/>
  <c r="CO76" i="13"/>
  <c r="CQ76" i="13" s="1"/>
  <c r="CS82" i="13"/>
  <c r="CP82" i="13"/>
  <c r="CR79" i="13"/>
  <c r="CT79" i="13" s="1"/>
  <c r="CO79" i="13"/>
  <c r="CQ79" i="13" s="1"/>
  <c r="CR82" i="13"/>
  <c r="CT82" i="13" s="1"/>
  <c r="CO82" i="13"/>
  <c r="CQ82" i="13" s="1"/>
  <c r="CT19" i="13"/>
  <c r="CT28" i="13"/>
  <c r="CT22" i="13"/>
  <c r="CT25" i="13"/>
  <c r="CT16" i="13"/>
  <c r="CP13" i="13"/>
  <c r="CS13" i="13"/>
  <c r="CQ70" i="13"/>
  <c r="CN70" i="13"/>
  <c r="CO37" i="13"/>
  <c r="CR37" i="13"/>
  <c r="CP37" i="13"/>
  <c r="CS37" i="13"/>
  <c r="CO34" i="13"/>
  <c r="CR34" i="13"/>
  <c r="CP46" i="13"/>
  <c r="CS46" i="13"/>
  <c r="CP34" i="13"/>
  <c r="CS34" i="13"/>
  <c r="CO46" i="13"/>
  <c r="CR46" i="13"/>
  <c r="CT46" i="13" s="1"/>
  <c r="CQ61" i="13"/>
  <c r="CM25" i="13"/>
  <c r="CP25" i="13"/>
  <c r="CM19" i="13"/>
  <c r="CP19" i="13"/>
  <c r="CL13" i="13"/>
  <c r="CN13" i="13" s="1"/>
  <c r="CL19" i="13"/>
  <c r="CO19" i="13"/>
  <c r="CQ19" i="13" s="1"/>
  <c r="CL25" i="13"/>
  <c r="CO25" i="13"/>
  <c r="CL28" i="13"/>
  <c r="CO28" i="13"/>
  <c r="CN61" i="13"/>
  <c r="CM28" i="13"/>
  <c r="CP28" i="13"/>
  <c r="CM16" i="13"/>
  <c r="CP16" i="13"/>
  <c r="CN67" i="13"/>
  <c r="CL16" i="13"/>
  <c r="CO16" i="13"/>
  <c r="CQ64" i="13"/>
  <c r="CQ73" i="13"/>
  <c r="CM22" i="13"/>
  <c r="CP22" i="13"/>
  <c r="CL22" i="13"/>
  <c r="CO22" i="13"/>
  <c r="CN64" i="13"/>
  <c r="CQ16" i="13" l="1"/>
  <c r="CQ13" i="13"/>
  <c r="CT13" i="13"/>
  <c r="CQ28" i="13"/>
  <c r="CQ25" i="13"/>
  <c r="CT37" i="13"/>
  <c r="CT34" i="13"/>
  <c r="CN22" i="13"/>
  <c r="CN19" i="13"/>
  <c r="CN16" i="13"/>
  <c r="CN28" i="13"/>
  <c r="CQ22" i="13"/>
  <c r="CN25" i="13"/>
  <c r="CI43" i="13"/>
  <c r="CJ43" i="13" s="1"/>
  <c r="CS43" i="13" s="1"/>
  <c r="CQ46" i="13"/>
  <c r="CQ34" i="13"/>
  <c r="CQ37" i="13"/>
  <c r="CP43" i="13" l="1"/>
  <c r="CH43" i="13"/>
  <c r="CH40" i="13"/>
  <c r="CI40" i="13"/>
  <c r="CJ40" i="13" s="1"/>
  <c r="CO43" i="13" l="1"/>
  <c r="CQ43" i="13" s="1"/>
  <c r="CR43" i="13"/>
  <c r="CT43" i="13" s="1"/>
  <c r="CP40" i="13"/>
  <c r="CS40" i="13"/>
  <c r="CO40" i="13"/>
  <c r="CR40" i="13"/>
  <c r="CT40" i="13" s="1"/>
  <c r="CQ40" i="13" l="1"/>
  <c r="CI31" i="13" l="1"/>
  <c r="CJ31" i="13" s="1"/>
  <c r="CS31" i="13" s="1"/>
  <c r="CH31" i="13"/>
  <c r="CR31" i="13" s="1"/>
  <c r="CT31" i="13" l="1"/>
  <c r="CO31" i="13"/>
  <c r="CP31" i="13"/>
  <c r="CQ31" i="13" l="1"/>
  <c r="CW3" i="13" l="1"/>
  <c r="CW4" i="13"/>
  <c r="CX4" i="13" s="1"/>
  <c r="CW2" i="13"/>
  <c r="CW6" i="13" l="1"/>
  <c r="CX6" i="13" s="1"/>
  <c r="CX3" i="13"/>
  <c r="CW5" i="13"/>
  <c r="CX5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Ara Abdulrahman</author>
  </authors>
  <commentList>
    <comment ref="G11" authorId="0" shapeId="0" xr:uid="{66AFC824-04CA-4652-BC69-D62815669370}">
      <text>
        <r>
          <rPr>
            <b/>
            <sz val="9"/>
            <color indexed="81"/>
            <rFont val="Tahoma"/>
            <charset val="1"/>
          </rPr>
          <t>Ara Abdulrahman:</t>
        </r>
        <r>
          <rPr>
            <sz val="9"/>
            <color indexed="81"/>
            <rFont val="Tahoma"/>
            <charset val="1"/>
          </rPr>
          <t xml:space="preserve">
Not corrected to MUT conditions</t>
        </r>
      </text>
    </comment>
    <comment ref="G59" authorId="0" shapeId="0" xr:uid="{B5C07A9B-3CBA-4422-968C-BA46E235BFCF}">
      <text>
        <r>
          <rPr>
            <b/>
            <sz val="9"/>
            <color indexed="81"/>
            <rFont val="Tahoma"/>
            <charset val="1"/>
          </rPr>
          <t>Ara Abdulrahman:</t>
        </r>
        <r>
          <rPr>
            <sz val="9"/>
            <color indexed="81"/>
            <rFont val="Tahoma"/>
            <charset val="1"/>
          </rPr>
          <t xml:space="preserve">
Not corrected to MUT conditions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<sst xmlns="http://schemas.openxmlformats.org/spreadsheetml/2006/main" count="648" uniqueCount="135">
  <si>
    <t>TestPoint Timestamp</t>
  </si>
  <si>
    <t>Test Point</t>
  </si>
  <si>
    <t>p_abs_MUT</t>
  </si>
  <si>
    <t>T_MUT</t>
  </si>
  <si>
    <t>rho_MUT</t>
  </si>
  <si>
    <t>dev</t>
  </si>
  <si>
    <t>U_CMC(Vol)</t>
  </si>
  <si>
    <t>-</t>
  </si>
  <si>
    <t>°C</t>
  </si>
  <si>
    <t>%</t>
  </si>
  <si>
    <t>kg/m³</t>
  </si>
  <si>
    <r>
      <t>1/u</t>
    </r>
    <r>
      <rPr>
        <b/>
        <vertAlign val="superscript"/>
        <sz val="18"/>
        <color rgb="FF000000"/>
        <rFont val="Calibri"/>
        <family val="2"/>
      </rPr>
      <t>2</t>
    </r>
    <r>
      <rPr>
        <b/>
        <sz val="18"/>
        <color rgb="FF000000"/>
        <rFont val="Calibri"/>
        <family val="2"/>
      </rPr>
      <t>(x</t>
    </r>
    <r>
      <rPr>
        <b/>
        <vertAlign val="subscript"/>
        <sz val="18"/>
        <color rgb="FF000000"/>
        <rFont val="Calibri"/>
        <family val="2"/>
      </rPr>
      <t>i</t>
    </r>
    <r>
      <rPr>
        <b/>
        <sz val="18"/>
        <color rgb="FF000000"/>
        <rFont val="Calibri"/>
        <family val="2"/>
      </rPr>
      <t>)</t>
    </r>
  </si>
  <si>
    <r>
      <t>xi/u</t>
    </r>
    <r>
      <rPr>
        <b/>
        <vertAlign val="superscript"/>
        <sz val="18"/>
        <color rgb="FF000000"/>
        <rFont val="Calibri"/>
        <family val="2"/>
      </rPr>
      <t>2</t>
    </r>
    <r>
      <rPr>
        <b/>
        <sz val="18"/>
        <color rgb="FF000000"/>
        <rFont val="Calibri"/>
        <family val="2"/>
      </rPr>
      <t>(x</t>
    </r>
    <r>
      <rPr>
        <b/>
        <vertAlign val="subscript"/>
        <sz val="18"/>
        <color rgb="FF000000"/>
        <rFont val="Calibri"/>
        <family val="2"/>
      </rPr>
      <t>i</t>
    </r>
    <r>
      <rPr>
        <b/>
        <sz val="18"/>
        <color rgb="FF000000"/>
        <rFont val="Calibri"/>
        <family val="2"/>
      </rPr>
      <t>)</t>
    </r>
  </si>
  <si>
    <t>KCRV y</t>
  </si>
  <si>
    <r>
      <t>1/u</t>
    </r>
    <r>
      <rPr>
        <b/>
        <vertAlign val="superscript"/>
        <sz val="18"/>
        <color rgb="FF000000"/>
        <rFont val="Calibri"/>
        <family val="2"/>
      </rPr>
      <t>2</t>
    </r>
    <r>
      <rPr>
        <b/>
        <sz val="18"/>
        <color rgb="FF000000"/>
        <rFont val="Calibri"/>
        <family val="2"/>
      </rPr>
      <t>(y)</t>
    </r>
  </si>
  <si>
    <r>
      <t>d</t>
    </r>
    <r>
      <rPr>
        <b/>
        <vertAlign val="subscript"/>
        <sz val="18"/>
        <color rgb="FF000000"/>
        <rFont val="Calibri"/>
        <family val="2"/>
      </rPr>
      <t>i</t>
    </r>
  </si>
  <si>
    <t>En (%)</t>
  </si>
  <si>
    <r>
      <t>u(d</t>
    </r>
    <r>
      <rPr>
        <b/>
        <vertAlign val="subscript"/>
        <sz val="18"/>
        <color rgb="FF000000"/>
        <rFont val="Calibri"/>
        <family val="2"/>
      </rPr>
      <t>i</t>
    </r>
    <r>
      <rPr>
        <b/>
        <sz val="18"/>
        <color rgb="FF000000"/>
        <rFont val="Calibri"/>
        <family val="2"/>
      </rPr>
      <t>)</t>
    </r>
  </si>
  <si>
    <t>dev average</t>
  </si>
  <si>
    <t>std. dev</t>
  </si>
  <si>
    <t>uncertainty mean</t>
  </si>
  <si>
    <t>U_CMC(Vol) average</t>
  </si>
  <si>
    <t>Total uncertainty</t>
  </si>
  <si>
    <t>Above 1.2</t>
  </si>
  <si>
    <t>Above 1</t>
  </si>
  <si>
    <t xml:space="preserve">Between 1 and 1.2 </t>
  </si>
  <si>
    <t>(-)</t>
  </si>
  <si>
    <t>(%)</t>
  </si>
  <si>
    <t xml:space="preserve">Below equal 1 </t>
  </si>
  <si>
    <t>NEL</t>
  </si>
  <si>
    <t>u(y)</t>
  </si>
  <si>
    <t>test points</t>
  </si>
  <si>
    <t>t-distribution</t>
  </si>
  <si>
    <t>Fluid</t>
  </si>
  <si>
    <t>CO2</t>
  </si>
  <si>
    <t>m3/h</t>
  </si>
  <si>
    <t>PGM meter</t>
  </si>
  <si>
    <t>VSL</t>
  </si>
  <si>
    <t>N2</t>
  </si>
  <si>
    <t>Q_Reference</t>
  </si>
  <si>
    <t>m3</t>
  </si>
  <si>
    <t>Q_MUT</t>
  </si>
  <si>
    <t>Pa</t>
  </si>
  <si>
    <t>Test time</t>
  </si>
  <si>
    <t>s</t>
  </si>
  <si>
    <t>Q Ref</t>
  </si>
  <si>
    <t>Q Ref average</t>
  </si>
  <si>
    <t>INRIM</t>
  </si>
  <si>
    <t>Notes: reported data refer to Totalized Volume; ambient temperature ranged from 292.8 K to 293 K; Ambient pressure ranged from 97930 Pa to 99350 Pa (measurements taken in different days)</t>
  </si>
  <si>
    <t xml:space="preserve">Graph </t>
  </si>
  <si>
    <t>Notes: E% in this case is based on Totalized Volume; ambient temperature ranged from 292.6 K to 292.88 K; Ambient pressure ranged from 99190 Pa to 100600 Pa (measurements taken in different days)</t>
  </si>
  <si>
    <t>Q ref average</t>
  </si>
  <si>
    <t>Deviation [%]</t>
  </si>
  <si>
    <t>Flow Rate [m3/h]</t>
  </si>
  <si>
    <t>Index</t>
  </si>
  <si>
    <t xml:space="preserve">Nozzle </t>
  </si>
  <si>
    <t>06/03/2025 15:07:15</t>
  </si>
  <si>
    <t>06/03/2025 15:10:44</t>
  </si>
  <si>
    <t>06/03/2025 15:14:41</t>
  </si>
  <si>
    <t>GR5</t>
  </si>
  <si>
    <t>GR3</t>
  </si>
  <si>
    <t>GR4</t>
  </si>
  <si>
    <t>06/03/2025 15:40:58</t>
  </si>
  <si>
    <t>06/03/2025 15:45:36</t>
  </si>
  <si>
    <t>06/03/2025 15:49:03</t>
  </si>
  <si>
    <t>06/03/2025 13:40:10</t>
  </si>
  <si>
    <t>06/03/2025 13:43:39</t>
  </si>
  <si>
    <t>06/03/2025 13:48:09</t>
  </si>
  <si>
    <t>06/03/2025 12:44:57</t>
  </si>
  <si>
    <t>06/03/2025 12:48:23</t>
  </si>
  <si>
    <t>06/03/2025 12:52:24</t>
  </si>
  <si>
    <t>07/03/2025 08:10:40</t>
  </si>
  <si>
    <t>07/03/2025 08:14:27</t>
  </si>
  <si>
    <t>07/03/2025 08:18:32</t>
  </si>
  <si>
    <t>07/03/2025 08:43:43</t>
  </si>
  <si>
    <t>07/03/2025 08:49:00</t>
  </si>
  <si>
    <t>07/03/2025 08:55:28</t>
  </si>
  <si>
    <t>12/03/2025 09:18:15</t>
  </si>
  <si>
    <t>12/03/2025 09:28:58</t>
  </si>
  <si>
    <t>12/03/2025 09:34:17</t>
  </si>
  <si>
    <t>GR1</t>
  </si>
  <si>
    <t>12/03/2025 09:59:18</t>
  </si>
  <si>
    <t>12/03/2025 10:06:44</t>
  </si>
  <si>
    <t>12/03/2025 10:13:31</t>
  </si>
  <si>
    <t>10/03/2025 07:24:01</t>
  </si>
  <si>
    <t>10/03/2025 07:38:42</t>
  </si>
  <si>
    <t>10/03/2025 07:52:46</t>
  </si>
  <si>
    <t>RS8</t>
  </si>
  <si>
    <t>10/03/2025 14:24:38</t>
  </si>
  <si>
    <t>10/03/2025 14:45:14</t>
  </si>
  <si>
    <t>10/03/2025 15:05:54</t>
  </si>
  <si>
    <t>10/03/2025 13:14:22</t>
  </si>
  <si>
    <t>10/03/2025 13:35:20</t>
  </si>
  <si>
    <t>10/03/2025 13:56:11</t>
  </si>
  <si>
    <t>10/03/2025 15:29:11</t>
  </si>
  <si>
    <t>10/03/2025 15:49:46</t>
  </si>
  <si>
    <t>10/03/2025 16:11:13</t>
  </si>
  <si>
    <t>RS6</t>
  </si>
  <si>
    <t>13/03/2025 13:58:30</t>
  </si>
  <si>
    <t>13/03/2025 14:01:57</t>
  </si>
  <si>
    <t>13/03/2025 14:05:50</t>
  </si>
  <si>
    <t>13/03/2025 14:11:05</t>
  </si>
  <si>
    <t>13/03/2025 14:17:24</t>
  </si>
  <si>
    <t>13/03/2025 14:21:01</t>
  </si>
  <si>
    <t>13/03/2025 11:53:29</t>
  </si>
  <si>
    <t>13/03/2025 11:57:56</t>
  </si>
  <si>
    <t>13/03/2025 12:02:26</t>
  </si>
  <si>
    <t>GR2</t>
  </si>
  <si>
    <t>13/03/2025 08:10:39</t>
  </si>
  <si>
    <t>13/03/2025 08:16:49</t>
  </si>
  <si>
    <t>13/03/2025 08:22:45</t>
  </si>
  <si>
    <t>14/03/2025 10:45:48</t>
  </si>
  <si>
    <t>14/03/2025 10:58:01</t>
  </si>
  <si>
    <t>14/03/2025 11:10:14</t>
  </si>
  <si>
    <t>14/03/2025 08:16:58</t>
  </si>
  <si>
    <t>14/03/2025 08:23:46</t>
  </si>
  <si>
    <t>14/03/2025 08:33:28</t>
  </si>
  <si>
    <t>Gr4</t>
  </si>
  <si>
    <t>14/03/2025 11:23:16</t>
  </si>
  <si>
    <t>14/03/2025 11:43:40</t>
  </si>
  <si>
    <t>14/03/2025 12:04:43</t>
  </si>
  <si>
    <t>Total test points</t>
  </si>
  <si>
    <t>Reference time</t>
  </si>
  <si>
    <t>Reference volume</t>
  </si>
  <si>
    <t>ml</t>
  </si>
  <si>
    <t>MUT time</t>
  </si>
  <si>
    <t>Date and time</t>
  </si>
  <si>
    <t>Q_Reference (corrected to MUT conditions)</t>
  </si>
  <si>
    <t>kg/m3</t>
  </si>
  <si>
    <t>T (°C)</t>
  </si>
  <si>
    <t>density (kg/m3)</t>
  </si>
  <si>
    <t>Pgauge (Pa)</t>
  </si>
  <si>
    <t>barometric pressure (Pa)</t>
  </si>
  <si>
    <t>Absolute pressure (Pa)</t>
  </si>
  <si>
    <t>En (VSL-INRIM)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</si>
</sst>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"/>
    <numFmt numFmtId="165" formatCode="0.000000"/>
    <numFmt numFmtId="166" formatCode="0.0000000"/>
    <numFmt numFmtId="167" formatCode="dd/mm/yyyy\ hh:mm:ss"/>
    <numFmt numFmtId="168" formatCode="0.0"/>
    <numFmt numFmtId="169" formatCode="0.000000E+00"/>
    <numFmt numFmtId="170" formatCode="0.000E+00"/>
    <numFmt numFmtId="171" formatCode="0.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FF0000"/>
      <name val="Calibri"/>
      <family val="2"/>
    </font>
    <font>
      <b/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perscript"/>
      <sz val="18"/>
      <color rgb="FF000000"/>
      <name val="Calibri"/>
      <family val="2"/>
    </font>
    <font>
      <b/>
      <vertAlign val="subscript"/>
      <sz val="18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598BDB"/>
      </patternFill>
    </fill>
    <fill>
      <patternFill patternType="solid">
        <fgColor rgb="FFB6D3EF"/>
      </patternFill>
    </fill>
    <fill>
      <patternFill patternType="solid">
        <fgColor rgb="FFFFFFFF"/>
      </patternFill>
    </fill>
    <fill>
      <patternFill patternType="solid">
        <fgColor rgb="FF7030A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rgb="FF00000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Border="0"/>
    <xf numFmtId="0" fontId="1" fillId="0" borderId="0"/>
  </cellStyleXfs>
  <cellXfs count="108">
    <xf numFmtId="0" fontId="0" fillId="0" borderId="0" xfId="0"/>
    <xf numFmtId="0" fontId="3" fillId="0" borderId="0" xfId="1" applyFont="1"/>
    <xf numFmtId="0" fontId="2" fillId="0" borderId="0" xfId="1"/>
    <xf numFmtId="0" fontId="1" fillId="0" borderId="0" xfId="2"/>
    <xf numFmtId="0" fontId="4" fillId="2" borderId="2" xfId="1" applyFont="1" applyFill="1" applyBorder="1" applyAlignment="1">
      <alignment horizontal="center" vertical="top" wrapText="1"/>
    </xf>
    <xf numFmtId="0" fontId="2" fillId="3" borderId="2" xfId="1" applyFill="1" applyBorder="1" applyAlignment="1">
      <alignment horizontal="center"/>
    </xf>
    <xf numFmtId="0" fontId="1" fillId="0" borderId="2" xfId="2" applyBorder="1"/>
    <xf numFmtId="0" fontId="4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top" wrapText="1"/>
    </xf>
    <xf numFmtId="0" fontId="0" fillId="0" borderId="2" xfId="0" applyBorder="1"/>
    <xf numFmtId="0" fontId="0" fillId="4" borderId="1" xfId="0" applyFill="1" applyBorder="1" applyAlignment="1">
      <alignment horizontal="center" vertical="top" wrapText="1"/>
    </xf>
    <xf numFmtId="11" fontId="1" fillId="0" borderId="2" xfId="2" applyNumberFormat="1" applyBorder="1"/>
    <xf numFmtId="165" fontId="0" fillId="0" borderId="2" xfId="0" applyNumberFormat="1" applyBorder="1"/>
    <xf numFmtId="164" fontId="0" fillId="0" borderId="0" xfId="0" applyNumberFormat="1"/>
    <xf numFmtId="167" fontId="4" fillId="2" borderId="1" xfId="0" applyNumberFormat="1" applyFont="1" applyFill="1" applyBorder="1" applyAlignment="1">
      <alignment horizontal="center" vertical="top" wrapText="1"/>
    </xf>
    <xf numFmtId="165" fontId="4" fillId="2" borderId="1" xfId="0" applyNumberFormat="1" applyFont="1" applyFill="1" applyBorder="1" applyAlignment="1">
      <alignment horizontal="center" vertical="top" wrapText="1"/>
    </xf>
    <xf numFmtId="167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1" fontId="0" fillId="0" borderId="0" xfId="0" applyNumberFormat="1"/>
    <xf numFmtId="0" fontId="0" fillId="9" borderId="0" xfId="0" applyFill="1" applyAlignment="1">
      <alignment horizontal="center"/>
    </xf>
    <xf numFmtId="165" fontId="0" fillId="0" borderId="0" xfId="0" applyNumberFormat="1" applyAlignment="1">
      <alignment horizontal="center" vertical="top" wrapText="1"/>
    </xf>
    <xf numFmtId="166" fontId="0" fillId="0" borderId="0" xfId="0" applyNumberFormat="1"/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0" fillId="9" borderId="3" xfId="0" applyNumberFormat="1" applyFill="1" applyBorder="1" applyAlignment="1">
      <alignment horizontal="center"/>
    </xf>
    <xf numFmtId="165" fontId="5" fillId="8" borderId="1" xfId="0" applyNumberFormat="1" applyFont="1" applyFill="1" applyBorder="1" applyAlignment="1">
      <alignment horizontal="center" vertical="top" wrapText="1"/>
    </xf>
    <xf numFmtId="165" fontId="5" fillId="0" borderId="0" xfId="0" applyNumberFormat="1" applyFont="1" applyAlignment="1">
      <alignment horizontal="center" vertical="top" wrapText="1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4" fillId="11" borderId="0" xfId="1" applyFont="1" applyFill="1" applyBorder="1" applyAlignment="1">
      <alignment horizontal="center" vertical="top" wrapText="1"/>
    </xf>
    <xf numFmtId="0" fontId="2" fillId="9" borderId="0" xfId="1" applyFill="1" applyBorder="1" applyAlignment="1">
      <alignment horizontal="center"/>
    </xf>
    <xf numFmtId="0" fontId="0" fillId="9" borderId="0" xfId="0" applyFill="1"/>
    <xf numFmtId="0" fontId="0" fillId="9" borderId="0" xfId="0" applyFill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/>
    <xf numFmtId="0" fontId="13" fillId="0" borderId="2" xfId="0" applyFont="1" applyBorder="1"/>
    <xf numFmtId="2" fontId="13" fillId="0" borderId="2" xfId="0" applyNumberFormat="1" applyFont="1" applyBorder="1"/>
    <xf numFmtId="168" fontId="13" fillId="0" borderId="2" xfId="0" applyNumberFormat="1" applyFont="1" applyBorder="1"/>
    <xf numFmtId="168" fontId="13" fillId="10" borderId="2" xfId="0" applyNumberFormat="1" applyFont="1" applyFill="1" applyBorder="1"/>
    <xf numFmtId="169" fontId="0" fillId="0" borderId="0" xfId="0" applyNumberFormat="1"/>
    <xf numFmtId="2" fontId="0" fillId="4" borderId="1" xfId="0" applyNumberFormat="1" applyFill="1" applyBorder="1" applyAlignment="1">
      <alignment horizontal="center" vertical="top" wrapText="1"/>
    </xf>
    <xf numFmtId="164" fontId="0" fillId="4" borderId="1" xfId="0" applyNumberFormat="1" applyFill="1" applyBorder="1" applyAlignment="1">
      <alignment horizontal="center" vertical="top" wrapText="1"/>
    </xf>
    <xf numFmtId="170" fontId="0" fillId="0" borderId="0" xfId="0" applyNumberFormat="1"/>
    <xf numFmtId="2" fontId="0" fillId="0" borderId="0" xfId="0" applyNumberFormat="1" applyAlignment="1">
      <alignment horizontal="center" vertical="center"/>
    </xf>
    <xf numFmtId="167" fontId="0" fillId="4" borderId="6" xfId="0" applyNumberFormat="1" applyFill="1" applyBorder="1" applyAlignment="1">
      <alignment horizontal="center" vertical="top" wrapText="1"/>
    </xf>
    <xf numFmtId="167" fontId="0" fillId="3" borderId="3" xfId="0" applyNumberFormat="1" applyFill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2" fontId="0" fillId="4" borderId="2" xfId="0" applyNumberFormat="1" applyFill="1" applyBorder="1" applyAlignment="1">
      <alignment horizontal="center" vertical="top" wrapText="1"/>
    </xf>
    <xf numFmtId="164" fontId="0" fillId="4" borderId="2" xfId="0" applyNumberFormat="1" applyFill="1" applyBorder="1" applyAlignment="1">
      <alignment horizontal="center" vertical="top" wrapText="1"/>
    </xf>
    <xf numFmtId="171" fontId="0" fillId="4" borderId="1" xfId="0" applyNumberFormat="1" applyFill="1" applyBorder="1" applyAlignment="1">
      <alignment horizontal="center" vertical="top" wrapText="1"/>
    </xf>
    <xf numFmtId="0" fontId="0" fillId="3" borderId="3" xfId="0" applyFill="1" applyBorder="1" applyAlignment="1">
      <alignment horizontal="center"/>
    </xf>
    <xf numFmtId="165" fontId="0" fillId="3" borderId="3" xfId="0" applyNumberFormat="1" applyFill="1" applyBorder="1" applyAlignment="1">
      <alignment horizontal="center"/>
    </xf>
    <xf numFmtId="0" fontId="2" fillId="3" borderId="7" xfId="1" applyFill="1" applyBorder="1" applyAlignment="1">
      <alignment horizontal="center"/>
    </xf>
    <xf numFmtId="1" fontId="0" fillId="0" borderId="0" xfId="0" applyNumberFormat="1" applyAlignment="1">
      <alignment vertical="center"/>
    </xf>
    <xf numFmtId="0" fontId="0" fillId="12" borderId="2" xfId="0" applyFill="1" applyBorder="1" applyAlignment="1">
      <alignment horizontal="center"/>
    </xf>
    <xf numFmtId="165" fontId="0" fillId="12" borderId="2" xfId="0" applyNumberFormat="1" applyFill="1" applyBorder="1"/>
    <xf numFmtId="167" fontId="0" fillId="12" borderId="6" xfId="0" applyNumberFormat="1" applyFill="1" applyBorder="1" applyAlignment="1">
      <alignment horizontal="center" vertical="top" wrapText="1"/>
    </xf>
    <xf numFmtId="0" fontId="0" fillId="12" borderId="1" xfId="0" applyFill="1" applyBorder="1" applyAlignment="1">
      <alignment horizontal="center" vertical="top" wrapText="1"/>
    </xf>
    <xf numFmtId="171" fontId="0" fillId="12" borderId="1" xfId="0" applyNumberFormat="1" applyFill="1" applyBorder="1" applyAlignment="1">
      <alignment horizontal="center" vertical="top" wrapText="1"/>
    </xf>
    <xf numFmtId="2" fontId="0" fillId="12" borderId="1" xfId="0" applyNumberFormat="1" applyFill="1" applyBorder="1" applyAlignment="1">
      <alignment horizontal="center" vertical="top" wrapText="1"/>
    </xf>
    <xf numFmtId="164" fontId="0" fillId="12" borderId="1" xfId="0" applyNumberFormat="1" applyFill="1" applyBorder="1" applyAlignment="1">
      <alignment horizontal="center" vertical="top" wrapText="1"/>
    </xf>
    <xf numFmtId="0" fontId="1" fillId="12" borderId="2" xfId="2" applyFill="1" applyBorder="1"/>
    <xf numFmtId="1" fontId="0" fillId="4" borderId="1" xfId="0" applyNumberFormat="1" applyFill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166" fontId="4" fillId="0" borderId="0" xfId="0" applyNumberFormat="1" applyFont="1" applyAlignment="1">
      <alignment horizontal="center" vertical="top" wrapText="1"/>
    </xf>
    <xf numFmtId="166" fontId="0" fillId="0" borderId="0" xfId="0" applyNumberFormat="1" applyAlignment="1">
      <alignment horizontal="center"/>
    </xf>
    <xf numFmtId="2" fontId="0" fillId="4" borderId="8" xfId="0" applyNumberFormat="1" applyFill="1" applyBorder="1" applyAlignment="1">
      <alignment horizontal="center" vertical="top" wrapText="1"/>
    </xf>
    <xf numFmtId="171" fontId="0" fillId="4" borderId="2" xfId="0" applyNumberFormat="1" applyFill="1" applyBorder="1" applyAlignment="1">
      <alignment horizontal="center" vertical="top" wrapText="1"/>
    </xf>
    <xf numFmtId="164" fontId="0" fillId="0" borderId="2" xfId="0" applyNumberFormat="1" applyBorder="1"/>
    <xf numFmtId="2" fontId="0" fillId="0" borderId="2" xfId="0" applyNumberForma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171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/>
    </xf>
    <xf numFmtId="11" fontId="1" fillId="0" borderId="2" xfId="2" applyNumberFormat="1" applyBorder="1" applyAlignment="1">
      <alignment horizontal="center"/>
    </xf>
    <xf numFmtId="2" fontId="0" fillId="12" borderId="2" xfId="0" applyNumberFormat="1" applyFill="1" applyBorder="1" applyAlignment="1">
      <alignment horizontal="center" vertical="center"/>
    </xf>
    <xf numFmtId="0" fontId="0" fillId="12" borderId="2" xfId="0" applyFill="1" applyBorder="1"/>
    <xf numFmtId="164" fontId="0" fillId="0" borderId="2" xfId="0" applyNumberFormat="1" applyBorder="1" applyAlignment="1">
      <alignment horizontal="center"/>
    </xf>
    <xf numFmtId="164" fontId="0" fillId="12" borderId="2" xfId="0" applyNumberFormat="1" applyFill="1" applyBorder="1" applyAlignment="1">
      <alignment horizontal="center"/>
    </xf>
    <xf numFmtId="167" fontId="15" fillId="10" borderId="5" xfId="0" applyNumberFormat="1" applyFont="1" applyFill="1" applyBorder="1" applyAlignment="1">
      <alignment horizontal="center"/>
    </xf>
    <xf numFmtId="171" fontId="0" fillId="0" borderId="0" xfId="0" applyNumberFormat="1"/>
    <xf numFmtId="167" fontId="18" fillId="13" borderId="5" xfId="0" applyNumberFormat="1" applyFont="1" applyFill="1" applyBorder="1" applyAlignment="1">
      <alignment horizontal="center"/>
    </xf>
    <xf numFmtId="164" fontId="1" fillId="12" borderId="5" xfId="2" applyNumberFormat="1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8" fillId="7" borderId="4" xfId="0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64" fontId="1" fillId="0" borderId="5" xfId="2" applyNumberFormat="1" applyBorder="1" applyAlignment="1">
      <alignment horizontal="center" vertical="center"/>
    </xf>
    <xf numFmtId="0" fontId="10" fillId="5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164" fontId="0" fillId="12" borderId="0" xfId="0" applyNumberFormat="1" applyFill="1" applyAlignment="1">
      <alignment horizontal="center" vertical="center"/>
    </xf>
    <xf numFmtId="2" fontId="0" fillId="12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9" fillId="7" borderId="0" xfId="0" applyFont="1" applyFill="1" applyAlignment="1">
      <alignment horizontal="center" vertical="center"/>
    </xf>
  </cellXfs>
  <cellStyles count="3">
    <cellStyle name="Normal" xfId="0" builtinId="0"/>
    <cellStyle name="Normal 2" xfId="2" xr:uid="{372E1225-7C0B-4B49-9B32-82AB0E33CE26}"/>
    <cellStyle name="Standard 2" xfId="1" xr:uid="{92D3D96D-CB21-4DEC-85F8-DC4AFA13ED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3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theme" Target="theme/theme1.xml"/><Relationship Id="rId5" Type="http://schemas.openxmlformats.org/officeDocument/2006/relationships/chartsheet" Target="chartsheets/sheet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800"/>
              <a:t>Volume Error</a:t>
            </a:r>
            <a:r>
              <a:rPr lang="en-GB" sz="1800" baseline="0"/>
              <a:t> for PGM meter</a:t>
            </a:r>
            <a:endParaRPr lang="en-GB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tx>
            <c:v>INRIM N2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Data!$AX$13:$AX$48</c:f>
              <c:numCache>
                <c:formatCode>0.00</c:formatCode>
                <c:ptCount val="36"/>
                <c:pt idx="0">
                  <c:v>9.7141802854239609E-2</c:v>
                </c:pt>
                <c:pt idx="3">
                  <c:v>0.30724484795214563</c:v>
                </c:pt>
                <c:pt idx="6">
                  <c:v>0.60123969640282426</c:v>
                </c:pt>
                <c:pt idx="9">
                  <c:v>1.0044766413317257</c:v>
                </c:pt>
                <c:pt idx="12">
                  <c:v>2.197276697598229</c:v>
                </c:pt>
                <c:pt idx="15">
                  <c:v>3.0064065923272718</c:v>
                </c:pt>
                <c:pt idx="18">
                  <c:v>6.0332629583368025</c:v>
                </c:pt>
                <c:pt idx="21">
                  <c:v>10.044724167130965</c:v>
                </c:pt>
                <c:pt idx="24">
                  <c:v>14.975031197971497</c:v>
                </c:pt>
                <c:pt idx="27">
                  <c:v>19.899342502863473</c:v>
                </c:pt>
                <c:pt idx="30">
                  <c:v>25.058410425917796</c:v>
                </c:pt>
                <c:pt idx="33">
                  <c:v>30.017613515365316</c:v>
                </c:pt>
              </c:numCache>
            </c:numRef>
          </c:xVal>
          <c:yVal>
            <c:numRef>
              <c:f>Data!$AN$13:$AN$48</c:f>
              <c:numCache>
                <c:formatCode>0.000</c:formatCode>
                <c:ptCount val="36"/>
                <c:pt idx="0">
                  <c:v>-0.15958432358600197</c:v>
                </c:pt>
                <c:pt idx="3">
                  <c:v>3.5264802573686249E-2</c:v>
                </c:pt>
                <c:pt idx="6">
                  <c:v>1.7676983637498884E-2</c:v>
                </c:pt>
                <c:pt idx="9">
                  <c:v>0.21187598477819822</c:v>
                </c:pt>
                <c:pt idx="12">
                  <c:v>0.10874535923112832</c:v>
                </c:pt>
                <c:pt idx="15">
                  <c:v>0.22260004891447735</c:v>
                </c:pt>
                <c:pt idx="18">
                  <c:v>0.19764584984950259</c:v>
                </c:pt>
                <c:pt idx="21">
                  <c:v>0.1708353839498564</c:v>
                </c:pt>
                <c:pt idx="24">
                  <c:v>0.16517972867665018</c:v>
                </c:pt>
                <c:pt idx="27">
                  <c:v>0.11217553196153179</c:v>
                </c:pt>
                <c:pt idx="30">
                  <c:v>-5.9054420460869651E-2</c:v>
                </c:pt>
                <c:pt idx="33">
                  <c:v>-9.4050011839998351E-2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43-4F47-AE42-C5722778D3F1}"/>
            </c:ext>
          </c:extLst>
        </c:ser>
        <c:ser>
          <c:idx val="7"/>
          <c:order val="2"/>
          <c:tx>
            <c:v>NEL N2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Data!$BX$13:$BX$48</c:f>
              <c:numCache>
                <c:formatCode>0.00</c:formatCode>
                <c:ptCount val="36"/>
                <c:pt idx="0">
                  <c:v>0.12468121525775096</c:v>
                </c:pt>
                <c:pt idx="3">
                  <c:v>0.28830389831032693</c:v>
                </c:pt>
                <c:pt idx="6">
                  <c:v>0.58202985678683083</c:v>
                </c:pt>
                <c:pt idx="9">
                  <c:v>0.91337841655386887</c:v>
                </c:pt>
                <c:pt idx="12">
                  <c:v>2.2084575724429616</c:v>
                </c:pt>
                <c:pt idx="15">
                  <c:v>2.9897403406273693</c:v>
                </c:pt>
                <c:pt idx="18">
                  <c:v>6.1096384365746088</c:v>
                </c:pt>
                <c:pt idx="21">
                  <c:v>10.008493192019385</c:v>
                </c:pt>
                <c:pt idx="24">
                  <c:v>15.033362722610841</c:v>
                </c:pt>
                <c:pt idx="27">
                  <c:v>20.024606934273873</c:v>
                </c:pt>
                <c:pt idx="30">
                  <c:v>24.505569933852669</c:v>
                </c:pt>
                <c:pt idx="33">
                  <c:v>29.012929695783146</c:v>
                </c:pt>
              </c:numCache>
            </c:numRef>
          </c:xVal>
          <c:yVal>
            <c:numRef>
              <c:f>Data!$BN$13:$BN$48</c:f>
              <c:numCache>
                <c:formatCode>0.000</c:formatCode>
                <c:ptCount val="36"/>
                <c:pt idx="0">
                  <c:v>-0.20334109478573162</c:v>
                </c:pt>
                <c:pt idx="3">
                  <c:v>0.42690078221513361</c:v>
                </c:pt>
                <c:pt idx="6">
                  <c:v>0.72781449723747504</c:v>
                </c:pt>
                <c:pt idx="9">
                  <c:v>0.37484665763125241</c:v>
                </c:pt>
                <c:pt idx="12">
                  <c:v>0.18597248680655462</c:v>
                </c:pt>
                <c:pt idx="15">
                  <c:v>2.3068981626606366E-2</c:v>
                </c:pt>
                <c:pt idx="18">
                  <c:v>2.6522051317007061E-2</c:v>
                </c:pt>
                <c:pt idx="21">
                  <c:v>-0.14857381562713842</c:v>
                </c:pt>
                <c:pt idx="24">
                  <c:v>-0.36970779034565582</c:v>
                </c:pt>
                <c:pt idx="27">
                  <c:v>-0.48386982215165436</c:v>
                </c:pt>
                <c:pt idx="30">
                  <c:v>-0.41208923207913645</c:v>
                </c:pt>
                <c:pt idx="33">
                  <c:v>-0.41567952962877985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4C43-4F47-AE42-C5722778D3F1}"/>
            </c:ext>
          </c:extLst>
        </c:ser>
        <c:ser>
          <c:idx val="12"/>
          <c:order val="8"/>
          <c:tx>
            <c:v>VSL Unc. 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Data!$W$9</c:f>
                <c:numCache>
                  <c:formatCode>General</c:formatCode>
                  <c:ptCount val="1"/>
                  <c:pt idx="0">
                    <c:v>0.21466905490113064</c:v>
                  </c:pt>
                </c:numCache>
              </c:numRef>
            </c:plus>
            <c:minus>
              <c:numRef>
                <c:f>Data!$W$9</c:f>
                <c:numCache>
                  <c:formatCode>General</c:formatCode>
                  <c:ptCount val="1"/>
                  <c:pt idx="0">
                    <c:v>0.21466905490113064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Sheet2!$C$19</c:f>
              <c:numCache>
                <c:formatCode>0.00</c:formatCode>
                <c:ptCount val="1"/>
                <c:pt idx="0">
                  <c:v>32</c:v>
                </c:pt>
              </c:numCache>
            </c:numRef>
          </c:xVal>
          <c:yVal>
            <c:numRef>
              <c:f>Sheet2!$D$19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C43-4F47-AE42-C5722778D3F1}"/>
            </c:ext>
          </c:extLst>
        </c:ser>
        <c:ser>
          <c:idx val="13"/>
          <c:order val="9"/>
          <c:tx>
            <c:v>INRIM Unc. 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Data!$AS$9</c:f>
                <c:numCache>
                  <c:formatCode>General</c:formatCode>
                  <c:ptCount val="1"/>
                  <c:pt idx="0">
                    <c:v>0.60015953545781009</c:v>
                  </c:pt>
                </c:numCache>
              </c:numRef>
            </c:plus>
            <c:minus>
              <c:numRef>
                <c:f>Data!$AS$9</c:f>
                <c:numCache>
                  <c:formatCode>General</c:formatCode>
                  <c:ptCount val="1"/>
                  <c:pt idx="0">
                    <c:v>0.60015953545781009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Sheet2!$C$20</c:f>
              <c:numCache>
                <c:formatCode>0.00</c:formatCode>
                <c:ptCount val="1"/>
                <c:pt idx="0">
                  <c:v>33</c:v>
                </c:pt>
              </c:numCache>
            </c:numRef>
          </c:xVal>
          <c:yVal>
            <c:numRef>
              <c:f>Sheet2!$D$20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C43-4F47-AE42-C5722778D3F1}"/>
            </c:ext>
          </c:extLst>
        </c:ser>
        <c:ser>
          <c:idx val="14"/>
          <c:order val="10"/>
          <c:tx>
            <c:v>NEL Unc.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0.2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Sheet2!$C$21</c:f>
              <c:numCache>
                <c:formatCode>0.00</c:formatCode>
                <c:ptCount val="1"/>
                <c:pt idx="0">
                  <c:v>34</c:v>
                </c:pt>
              </c:numCache>
            </c:numRef>
          </c:xVal>
          <c:yVal>
            <c:numRef>
              <c:f>Sheet2!$D$21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8-4C43-4F47-AE42-C5722778D3F1}"/>
            </c:ext>
          </c:extLst>
        </c:ser>
        <c:ser>
          <c:idx val="8"/>
          <c:order val="11"/>
          <c:tx>
            <c:v>Factory Cal. 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22225">
                <a:solidFill>
                  <a:srgbClr val="FF0000"/>
                </a:solidFill>
              </a:ln>
              <a:effectLst/>
            </c:spPr>
          </c:marker>
          <c:xVal>
            <c:numRef>
              <c:f>'Factory Cal Cert'!$R$8:$R$17</c:f>
              <c:numCache>
                <c:formatCode>General</c:formatCode>
                <c:ptCount val="10"/>
                <c:pt idx="0">
                  <c:v>30</c:v>
                </c:pt>
                <c:pt idx="1">
                  <c:v>20</c:v>
                </c:pt>
                <c:pt idx="2">
                  <c:v>14.44</c:v>
                </c:pt>
                <c:pt idx="3">
                  <c:v>9.98</c:v>
                </c:pt>
                <c:pt idx="4">
                  <c:v>7</c:v>
                </c:pt>
                <c:pt idx="5">
                  <c:v>4.32</c:v>
                </c:pt>
                <c:pt idx="6">
                  <c:v>2</c:v>
                </c:pt>
                <c:pt idx="7">
                  <c:v>0.99</c:v>
                </c:pt>
                <c:pt idx="8">
                  <c:v>0.5</c:v>
                </c:pt>
                <c:pt idx="9">
                  <c:v>0.24</c:v>
                </c:pt>
              </c:numCache>
            </c:numRef>
          </c:xVal>
          <c:yVal>
            <c:numRef>
              <c:f>'Factory Cal Cert'!$S$8:$S$17</c:f>
              <c:numCache>
                <c:formatCode>General</c:formatCode>
                <c:ptCount val="10"/>
                <c:pt idx="0">
                  <c:v>0.18</c:v>
                </c:pt>
                <c:pt idx="1">
                  <c:v>0.21</c:v>
                </c:pt>
                <c:pt idx="2">
                  <c:v>0.21</c:v>
                </c:pt>
                <c:pt idx="3">
                  <c:v>0.24</c:v>
                </c:pt>
                <c:pt idx="4">
                  <c:v>0.22</c:v>
                </c:pt>
                <c:pt idx="5">
                  <c:v>0.22</c:v>
                </c:pt>
                <c:pt idx="6">
                  <c:v>0.19</c:v>
                </c:pt>
                <c:pt idx="7">
                  <c:v>0.17</c:v>
                </c:pt>
                <c:pt idx="8">
                  <c:v>0.1</c:v>
                </c:pt>
                <c:pt idx="9">
                  <c:v>-0.23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C43-4F47-AE42-C5722778D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00944"/>
        <c:axId val="9823497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VSL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rgbClr val="00B0F0"/>
                    </a:solidFill>
                    <a:ln w="63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Data!$AA$13:$AA$48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0.1010091883757528</c:v>
                      </c:pt>
                      <c:pt idx="3">
                        <c:v>0.30041371363641883</c:v>
                      </c:pt>
                      <c:pt idx="6">
                        <c:v>0.60131523190555836</c:v>
                      </c:pt>
                      <c:pt idx="9">
                        <c:v>1.0093249219969724</c:v>
                      </c:pt>
                      <c:pt idx="12">
                        <c:v>2.225212455708538</c:v>
                      </c:pt>
                      <c:pt idx="15">
                        <c:v>2.926365045233871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Data!$Q$13:$Q$48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0">
                        <c:v>-0.57254928570009456</c:v>
                      </c:pt>
                      <c:pt idx="3">
                        <c:v>0.13848713103540508</c:v>
                      </c:pt>
                      <c:pt idx="6">
                        <c:v>0.30821455017970695</c:v>
                      </c:pt>
                      <c:pt idx="9">
                        <c:v>0.35578021225708606</c:v>
                      </c:pt>
                      <c:pt idx="12">
                        <c:v>0.41786027909398582</c:v>
                      </c:pt>
                      <c:pt idx="15">
                        <c:v>0.40995054590946189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4C43-4F47-AE42-C5722778D3F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VSL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rgbClr val="00B0F0"/>
                    </a:solidFill>
                    <a:ln w="63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Data!$AA$61:$AA$96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0.10076667174961189</c:v>
                      </c:pt>
                      <c:pt idx="3">
                        <c:v>0.29824329208234129</c:v>
                      </c:pt>
                      <c:pt idx="6">
                        <c:v>0.60320093474800318</c:v>
                      </c:pt>
                      <c:pt idx="9">
                        <c:v>0.99633687116623548</c:v>
                      </c:pt>
                      <c:pt idx="12">
                        <c:v>2.2319215395852616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Data!$Q$61:$Q$96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0">
                        <c:v>-0.77332918276066531</c:v>
                      </c:pt>
                      <c:pt idx="3">
                        <c:v>0.12326004149224991</c:v>
                      </c:pt>
                      <c:pt idx="6">
                        <c:v>0.34180687767455037</c:v>
                      </c:pt>
                      <c:pt idx="9">
                        <c:v>0.35557395725674973</c:v>
                      </c:pt>
                      <c:pt idx="12">
                        <c:v>0.36425902612923827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43-4F47-AE42-C5722778D3F1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INRIM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chemeClr val="accent4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Data!$AX$61:$AX$96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9.7932527542691702E-2</c:v>
                      </c:pt>
                      <c:pt idx="3">
                        <c:v>0.3066275806128117</c:v>
                      </c:pt>
                      <c:pt idx="6">
                        <c:v>0.59946034688035343</c:v>
                      </c:pt>
                      <c:pt idx="9">
                        <c:v>1.0074401694946016</c:v>
                      </c:pt>
                      <c:pt idx="12">
                        <c:v>2.194274045947795</c:v>
                      </c:pt>
                      <c:pt idx="15">
                        <c:v>3.0120259024001954</c:v>
                      </c:pt>
                      <c:pt idx="18">
                        <c:v>6.0402363323624355</c:v>
                      </c:pt>
                      <c:pt idx="21">
                        <c:v>10.031887098400588</c:v>
                      </c:pt>
                      <c:pt idx="24">
                        <c:v>14.974062579674886</c:v>
                      </c:pt>
                      <c:pt idx="27">
                        <c:v>19.905323579731444</c:v>
                      </c:pt>
                      <c:pt idx="30">
                        <c:v>25.059225399331041</c:v>
                      </c:pt>
                      <c:pt idx="33">
                        <c:v>30.019009783255786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Data!$AN$61:$AN$96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0">
                        <c:v>-0.59351850903736147</c:v>
                      </c:pt>
                      <c:pt idx="3">
                        <c:v>-0.25576309366970484</c:v>
                      </c:pt>
                      <c:pt idx="6">
                        <c:v>-3.4266479262988148E-2</c:v>
                      </c:pt>
                      <c:pt idx="9">
                        <c:v>3.295211710480387E-2</c:v>
                      </c:pt>
                      <c:pt idx="12">
                        <c:v>8.2367152702689128E-2</c:v>
                      </c:pt>
                      <c:pt idx="15">
                        <c:v>9.5691765265450132E-2</c:v>
                      </c:pt>
                      <c:pt idx="18">
                        <c:v>1.0626488519239792E-2</c:v>
                      </c:pt>
                      <c:pt idx="21">
                        <c:v>0.28522654628305122</c:v>
                      </c:pt>
                      <c:pt idx="24">
                        <c:v>6.8932201641709587E-2</c:v>
                      </c:pt>
                      <c:pt idx="27">
                        <c:v>-3.6330710074176466E-2</c:v>
                      </c:pt>
                      <c:pt idx="30">
                        <c:v>2.7323500276653114E-2</c:v>
                      </c:pt>
                      <c:pt idx="33">
                        <c:v>-5.3741337096744536E-2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C43-4F47-AE42-C5722778D3F1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NEL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Data!$BX$61:$BX$96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6">
                        <c:v>0.61449061266230498</c:v>
                      </c:pt>
                      <c:pt idx="9">
                        <c:v>1.0554256642960025</c:v>
                      </c:pt>
                      <c:pt idx="12">
                        <c:v>2.1886181344655875</c:v>
                      </c:pt>
                      <c:pt idx="15">
                        <c:v>3.0395350710572937</c:v>
                      </c:pt>
                      <c:pt idx="18">
                        <c:v>5.9965354335389724</c:v>
                      </c:pt>
                      <c:pt idx="21">
                        <c:v>10.197696034378197</c:v>
                      </c:pt>
                      <c:pt idx="24">
                        <c:v>15.336907652910918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Data!$BN$61:$BN$96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6">
                        <c:v>1.2732761641797516</c:v>
                      </c:pt>
                      <c:pt idx="9">
                        <c:v>1.1001247094642439</c:v>
                      </c:pt>
                      <c:pt idx="12">
                        <c:v>0.99014491798425197</c:v>
                      </c:pt>
                      <c:pt idx="15">
                        <c:v>0.59099738221847964</c:v>
                      </c:pt>
                      <c:pt idx="18">
                        <c:v>0.54181236812043776</c:v>
                      </c:pt>
                      <c:pt idx="21">
                        <c:v>0.22946234812523567</c:v>
                      </c:pt>
                      <c:pt idx="24">
                        <c:v>8.3963464022688172E-2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C43-4F47-AE42-C5722778D3F1}"/>
                  </c:ext>
                </c:extLst>
              </c15:ser>
            </c15:filteredScatterSeries>
            <c15:filteredScatterSeries>
              <c15:ser>
                <c:idx val="2"/>
                <c:order val="6"/>
                <c:tx>
                  <c:v>KCRV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10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Data!$CG$31:$CG$48</c15:sqref>
                        </c15:formulaRef>
                      </c:ext>
                    </c:extLst>
                    <c:numCache>
                      <c:formatCode>0.00</c:formatCode>
                      <c:ptCount val="18"/>
                      <c:pt idx="0">
                        <c:v>6.0714506974557061</c:v>
                      </c:pt>
                      <c:pt idx="3">
                        <c:v>10.026608679575176</c:v>
                      </c:pt>
                      <c:pt idx="6">
                        <c:v>15.004196960291168</c:v>
                      </c:pt>
                      <c:pt idx="9">
                        <c:v>19.961974718568673</c:v>
                      </c:pt>
                      <c:pt idx="12">
                        <c:v>24.781990179885234</c:v>
                      </c:pt>
                      <c:pt idx="15">
                        <c:v>29.515271605574231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Data!$CH$31:$CH$48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0.10186005664859225</c:v>
                      </c:pt>
                      <c:pt idx="3">
                        <c:v>0.12943966321364025</c:v>
                      </c:pt>
                      <c:pt idx="6">
                        <c:v>0.11706131183155484</c:v>
                      </c:pt>
                      <c:pt idx="9">
                        <c:v>3.2743061236566645E-2</c:v>
                      </c:pt>
                      <c:pt idx="12">
                        <c:v>-0.2180046492228212</c:v>
                      </c:pt>
                      <c:pt idx="15">
                        <c:v>-0.2286269572521108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4C43-4F47-AE42-C5722778D3F1}"/>
                  </c:ext>
                </c:extLst>
              </c15:ser>
            </c15:filteredScatterSeries>
            <c15:filteredScatterSeries>
              <c15:ser>
                <c:idx val="5"/>
                <c:order val="7"/>
                <c:tx>
                  <c:v>KRVC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9"/>
                  <c:spPr>
                    <a:noFill/>
                    <a:ln w="190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Data!$CG$82:$CG$96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10.114791566389393</c:v>
                      </c:pt>
                      <c:pt idx="3">
                        <c:v>15.155485116292901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Data!$CH$82:$CH$96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0.25343452635866592</c:v>
                      </c:pt>
                      <c:pt idx="3">
                        <c:v>6.9428266798599952E-2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4C43-4F47-AE42-C5722778D3F1}"/>
                  </c:ext>
                </c:extLst>
              </c15:ser>
            </c15:filteredScatterSeries>
          </c:ext>
        </c:extLst>
      </c:scatterChart>
      <c:valAx>
        <c:axId val="910100944"/>
        <c:scaling>
          <c:orientation val="minMax"/>
          <c:max val="3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Reference volume flow (m</a:t>
                </a:r>
                <a:r>
                  <a:rPr lang="en-GB" sz="1800" baseline="30000"/>
                  <a:t>3</a:t>
                </a:r>
                <a:r>
                  <a:rPr lang="en-GB" sz="1800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49760"/>
        <c:crossesAt val="-2"/>
        <c:crossBetween val="midCat"/>
      </c:valAx>
      <c:valAx>
        <c:axId val="982349760"/>
        <c:scaling>
          <c:orientation val="minMax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br>
                  <a:rPr lang="en-GB" sz="1800"/>
                </a:br>
                <a:r>
                  <a:rPr lang="en-GB" sz="1800"/>
                  <a:t>Error MUT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100944"/>
        <c:crossesAt val="-2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800"/>
              <a:t>Volume Error</a:t>
            </a:r>
            <a:r>
              <a:rPr lang="en-GB" sz="1800" baseline="0"/>
              <a:t> for PGM meter</a:t>
            </a:r>
            <a:endParaRPr lang="en-GB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VSL N2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Data!$AA$13:$AA$48</c:f>
              <c:numCache>
                <c:formatCode>0.00</c:formatCode>
                <c:ptCount val="36"/>
                <c:pt idx="0">
                  <c:v>0.1010091883757528</c:v>
                </c:pt>
                <c:pt idx="3">
                  <c:v>0.30041371363641883</c:v>
                </c:pt>
                <c:pt idx="6">
                  <c:v>0.60131523190555836</c:v>
                </c:pt>
                <c:pt idx="9">
                  <c:v>1.0093249219969724</c:v>
                </c:pt>
                <c:pt idx="12">
                  <c:v>2.225212455708538</c:v>
                </c:pt>
                <c:pt idx="15">
                  <c:v>2.926365045233871</c:v>
                </c:pt>
              </c:numCache>
            </c:numRef>
          </c:xVal>
          <c:yVal>
            <c:numRef>
              <c:f>Data!$Q$13:$Q$48</c:f>
              <c:numCache>
                <c:formatCode>0.000</c:formatCode>
                <c:ptCount val="36"/>
                <c:pt idx="0">
                  <c:v>-0.57254928570009456</c:v>
                </c:pt>
                <c:pt idx="3">
                  <c:v>0.13848713103540508</c:v>
                </c:pt>
                <c:pt idx="6">
                  <c:v>0.30821455017970695</c:v>
                </c:pt>
                <c:pt idx="9">
                  <c:v>0.35578021225708606</c:v>
                </c:pt>
                <c:pt idx="12">
                  <c:v>0.41786027909398582</c:v>
                </c:pt>
                <c:pt idx="15">
                  <c:v>0.40995054590946189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81-4B2F-912F-4F1D2B203494}"/>
            </c:ext>
          </c:extLst>
        </c:ser>
        <c:ser>
          <c:idx val="1"/>
          <c:order val="1"/>
          <c:tx>
            <c:v>INRIM N2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8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Data!$AX$13:$AX$48</c:f>
              <c:numCache>
                <c:formatCode>0.00</c:formatCode>
                <c:ptCount val="36"/>
                <c:pt idx="0">
                  <c:v>9.7141802854239609E-2</c:v>
                </c:pt>
                <c:pt idx="3">
                  <c:v>0.30724484795214563</c:v>
                </c:pt>
                <c:pt idx="6">
                  <c:v>0.60123969640282426</c:v>
                </c:pt>
                <c:pt idx="9">
                  <c:v>1.0044766413317257</c:v>
                </c:pt>
                <c:pt idx="12">
                  <c:v>2.197276697598229</c:v>
                </c:pt>
                <c:pt idx="15">
                  <c:v>3.0064065923272718</c:v>
                </c:pt>
                <c:pt idx="18">
                  <c:v>6.0332629583368025</c:v>
                </c:pt>
                <c:pt idx="21">
                  <c:v>10.044724167130965</c:v>
                </c:pt>
                <c:pt idx="24">
                  <c:v>14.975031197971497</c:v>
                </c:pt>
                <c:pt idx="27">
                  <c:v>19.899342502863473</c:v>
                </c:pt>
                <c:pt idx="30">
                  <c:v>25.058410425917796</c:v>
                </c:pt>
                <c:pt idx="33">
                  <c:v>30.017613515365316</c:v>
                </c:pt>
              </c:numCache>
            </c:numRef>
          </c:xVal>
          <c:yVal>
            <c:numRef>
              <c:f>Data!$AN$13:$AN$48</c:f>
              <c:numCache>
                <c:formatCode>0.000</c:formatCode>
                <c:ptCount val="36"/>
                <c:pt idx="0">
                  <c:v>-0.15958432358600197</c:v>
                </c:pt>
                <c:pt idx="3">
                  <c:v>3.5264802573686249E-2</c:v>
                </c:pt>
                <c:pt idx="6">
                  <c:v>1.7676983637498884E-2</c:v>
                </c:pt>
                <c:pt idx="9">
                  <c:v>0.21187598477819822</c:v>
                </c:pt>
                <c:pt idx="12">
                  <c:v>0.10874535923112832</c:v>
                </c:pt>
                <c:pt idx="15">
                  <c:v>0.22260004891447735</c:v>
                </c:pt>
                <c:pt idx="18">
                  <c:v>0.19764584984950259</c:v>
                </c:pt>
                <c:pt idx="21">
                  <c:v>0.1708353839498564</c:v>
                </c:pt>
                <c:pt idx="24">
                  <c:v>0.16517972867665018</c:v>
                </c:pt>
                <c:pt idx="27">
                  <c:v>0.11217553196153179</c:v>
                </c:pt>
                <c:pt idx="30">
                  <c:v>-5.9054420460869651E-2</c:v>
                </c:pt>
                <c:pt idx="33">
                  <c:v>-9.4050011839998351E-2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81-4B2F-912F-4F1D2B203494}"/>
            </c:ext>
          </c:extLst>
        </c:ser>
        <c:ser>
          <c:idx val="3"/>
          <c:order val="3"/>
          <c:tx>
            <c:v>VSL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Data!$AA$61:$AA$96</c:f>
              <c:numCache>
                <c:formatCode>0.00</c:formatCode>
                <c:ptCount val="36"/>
                <c:pt idx="0">
                  <c:v>0.10076667174961189</c:v>
                </c:pt>
                <c:pt idx="3">
                  <c:v>0.29824329208234129</c:v>
                </c:pt>
                <c:pt idx="6">
                  <c:v>0.60320093474800318</c:v>
                </c:pt>
                <c:pt idx="9">
                  <c:v>0.99633687116623548</c:v>
                </c:pt>
                <c:pt idx="12">
                  <c:v>2.2319215395852616</c:v>
                </c:pt>
              </c:numCache>
            </c:numRef>
          </c:xVal>
          <c:yVal>
            <c:numRef>
              <c:f>Data!$Q$61:$Q$96</c:f>
              <c:numCache>
                <c:formatCode>0.000</c:formatCode>
                <c:ptCount val="36"/>
                <c:pt idx="0">
                  <c:v>-0.77332918276066531</c:v>
                </c:pt>
                <c:pt idx="3">
                  <c:v>0.12326004149224991</c:v>
                </c:pt>
                <c:pt idx="6">
                  <c:v>0.34180687767455037</c:v>
                </c:pt>
                <c:pt idx="9">
                  <c:v>0.35557395725674973</c:v>
                </c:pt>
                <c:pt idx="12">
                  <c:v>0.36425902612923827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581-4B2F-912F-4F1D2B203494}"/>
            </c:ext>
          </c:extLst>
        </c:ser>
        <c:ser>
          <c:idx val="4"/>
          <c:order val="4"/>
          <c:tx>
            <c:v>INRIM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Data!$AX$61:$AX$96</c:f>
              <c:numCache>
                <c:formatCode>0.00</c:formatCode>
                <c:ptCount val="36"/>
                <c:pt idx="0">
                  <c:v>9.7932527542691702E-2</c:v>
                </c:pt>
                <c:pt idx="3">
                  <c:v>0.3066275806128117</c:v>
                </c:pt>
                <c:pt idx="6">
                  <c:v>0.59946034688035343</c:v>
                </c:pt>
                <c:pt idx="9">
                  <c:v>1.0074401694946016</c:v>
                </c:pt>
                <c:pt idx="12">
                  <c:v>2.194274045947795</c:v>
                </c:pt>
                <c:pt idx="15">
                  <c:v>3.0120259024001954</c:v>
                </c:pt>
                <c:pt idx="18">
                  <c:v>6.0402363323624355</c:v>
                </c:pt>
                <c:pt idx="21">
                  <c:v>10.031887098400588</c:v>
                </c:pt>
                <c:pt idx="24">
                  <c:v>14.974062579674886</c:v>
                </c:pt>
                <c:pt idx="27">
                  <c:v>19.905323579731444</c:v>
                </c:pt>
                <c:pt idx="30">
                  <c:v>25.059225399331041</c:v>
                </c:pt>
                <c:pt idx="33">
                  <c:v>30.019009783255786</c:v>
                </c:pt>
              </c:numCache>
            </c:numRef>
          </c:xVal>
          <c:yVal>
            <c:numRef>
              <c:f>Data!$AN$61:$AN$96</c:f>
              <c:numCache>
                <c:formatCode>0.000</c:formatCode>
                <c:ptCount val="36"/>
                <c:pt idx="0">
                  <c:v>-0.59351850903736147</c:v>
                </c:pt>
                <c:pt idx="3">
                  <c:v>-0.25576309366970484</c:v>
                </c:pt>
                <c:pt idx="6">
                  <c:v>-3.4266479262988148E-2</c:v>
                </c:pt>
                <c:pt idx="9">
                  <c:v>3.295211710480387E-2</c:v>
                </c:pt>
                <c:pt idx="12">
                  <c:v>8.2367152702689128E-2</c:v>
                </c:pt>
                <c:pt idx="15">
                  <c:v>9.5691765265450132E-2</c:v>
                </c:pt>
                <c:pt idx="18">
                  <c:v>1.0626488519239792E-2</c:v>
                </c:pt>
                <c:pt idx="21">
                  <c:v>0.28522654628305122</c:v>
                </c:pt>
                <c:pt idx="24">
                  <c:v>6.8932201641709587E-2</c:v>
                </c:pt>
                <c:pt idx="27">
                  <c:v>-3.6330710074176466E-2</c:v>
                </c:pt>
                <c:pt idx="30">
                  <c:v>2.7323500276653114E-2</c:v>
                </c:pt>
                <c:pt idx="33">
                  <c:v>-5.3741337096744536E-2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581-4B2F-912F-4F1D2B203494}"/>
            </c:ext>
          </c:extLst>
        </c:ser>
        <c:ser>
          <c:idx val="12"/>
          <c:order val="8"/>
          <c:tx>
            <c:v>VSL Unc. 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Data!$W$9</c:f>
                <c:numCache>
                  <c:formatCode>General</c:formatCode>
                  <c:ptCount val="1"/>
                  <c:pt idx="0">
                    <c:v>0.21466905490113064</c:v>
                  </c:pt>
                </c:numCache>
              </c:numRef>
            </c:plus>
            <c:minus>
              <c:numRef>
                <c:f>Data!$W$9</c:f>
                <c:numCache>
                  <c:formatCode>General</c:formatCode>
                  <c:ptCount val="1"/>
                  <c:pt idx="0">
                    <c:v>0.21466905490113064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Sheet2!$C$13</c:f>
              <c:numCache>
                <c:formatCode>0.00</c:formatCode>
                <c:ptCount val="1"/>
                <c:pt idx="0">
                  <c:v>3.5</c:v>
                </c:pt>
              </c:numCache>
            </c:numRef>
          </c:xVal>
          <c:yVal>
            <c:numRef>
              <c:f>Sheet2!$D$13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07-4187-A039-C1BB017A208B}"/>
            </c:ext>
          </c:extLst>
        </c:ser>
        <c:ser>
          <c:idx val="13"/>
          <c:order val="9"/>
          <c:tx>
            <c:v>INRIM Unc. 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Data!$AS$9</c:f>
                <c:numCache>
                  <c:formatCode>General</c:formatCode>
                  <c:ptCount val="1"/>
                  <c:pt idx="0">
                    <c:v>0.60015953545781009</c:v>
                  </c:pt>
                </c:numCache>
              </c:numRef>
            </c:plus>
            <c:minus>
              <c:numRef>
                <c:f>Data!$AS$9</c:f>
                <c:numCache>
                  <c:formatCode>General</c:formatCode>
                  <c:ptCount val="1"/>
                  <c:pt idx="0">
                    <c:v>0.60015953545781009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Sheet2!$C$14</c:f>
              <c:numCache>
                <c:formatCode>0.00</c:formatCode>
                <c:ptCount val="1"/>
                <c:pt idx="0">
                  <c:v>3.7</c:v>
                </c:pt>
              </c:numCache>
            </c:numRef>
          </c:xVal>
          <c:yVal>
            <c:numRef>
              <c:f>Sheet2!$D$14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07-4187-A039-C1BB017A208B}"/>
            </c:ext>
          </c:extLst>
        </c:ser>
        <c:ser>
          <c:idx val="14"/>
          <c:order val="10"/>
          <c:tx>
            <c:v>NEL Unc.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fixedVal"/>
            <c:noEndCap val="0"/>
            <c:val val="0.2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Sheet2!$C$15</c:f>
              <c:numCache>
                <c:formatCode>0.00</c:formatCode>
                <c:ptCount val="1"/>
                <c:pt idx="0">
                  <c:v>3.95</c:v>
                </c:pt>
              </c:numCache>
              <c:extLst xmlns:c15="http://schemas.microsoft.com/office/drawing/2012/chart"/>
            </c:numRef>
          </c:xVal>
          <c:yVal>
            <c:numRef>
              <c:f>Sheet2!$D$15</c:f>
              <c:numCache>
                <c:formatCode>General</c:formatCode>
                <c:ptCount val="1"/>
                <c:pt idx="0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4407-4187-A039-C1BB017A208B}"/>
            </c:ext>
          </c:extLst>
        </c:ser>
        <c:ser>
          <c:idx val="8"/>
          <c:order val="11"/>
          <c:tx>
            <c:v>Factory Cal.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25400">
                <a:solidFill>
                  <a:srgbClr val="FF0000"/>
                </a:solidFill>
              </a:ln>
              <a:effectLst/>
            </c:spPr>
          </c:marker>
          <c:xVal>
            <c:numRef>
              <c:f>'Factory Cal Cert'!$R$8:$R$17</c:f>
              <c:numCache>
                <c:formatCode>General</c:formatCode>
                <c:ptCount val="10"/>
                <c:pt idx="0">
                  <c:v>30</c:v>
                </c:pt>
                <c:pt idx="1">
                  <c:v>20</c:v>
                </c:pt>
                <c:pt idx="2">
                  <c:v>14.44</c:v>
                </c:pt>
                <c:pt idx="3">
                  <c:v>9.98</c:v>
                </c:pt>
                <c:pt idx="4">
                  <c:v>7</c:v>
                </c:pt>
                <c:pt idx="5">
                  <c:v>4.32</c:v>
                </c:pt>
                <c:pt idx="6">
                  <c:v>2</c:v>
                </c:pt>
                <c:pt idx="7">
                  <c:v>0.99</c:v>
                </c:pt>
                <c:pt idx="8">
                  <c:v>0.5</c:v>
                </c:pt>
                <c:pt idx="9">
                  <c:v>0.24</c:v>
                </c:pt>
              </c:numCache>
            </c:numRef>
          </c:xVal>
          <c:yVal>
            <c:numRef>
              <c:f>'Factory Cal Cert'!$S$8:$S$17</c:f>
              <c:numCache>
                <c:formatCode>General</c:formatCode>
                <c:ptCount val="10"/>
                <c:pt idx="0">
                  <c:v>0.18</c:v>
                </c:pt>
                <c:pt idx="1">
                  <c:v>0.21</c:v>
                </c:pt>
                <c:pt idx="2">
                  <c:v>0.21</c:v>
                </c:pt>
                <c:pt idx="3">
                  <c:v>0.24</c:v>
                </c:pt>
                <c:pt idx="4">
                  <c:v>0.22</c:v>
                </c:pt>
                <c:pt idx="5">
                  <c:v>0.22</c:v>
                </c:pt>
                <c:pt idx="6">
                  <c:v>0.19</c:v>
                </c:pt>
                <c:pt idx="7">
                  <c:v>0.17</c:v>
                </c:pt>
                <c:pt idx="8">
                  <c:v>0.1</c:v>
                </c:pt>
                <c:pt idx="9">
                  <c:v>-0.23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CC0-4253-ACD9-7D2A01AE4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00944"/>
        <c:axId val="982349760"/>
        <c:extLst>
          <c:ext xmlns:c15="http://schemas.microsoft.com/office/drawing/2012/chart" uri="{02D57815-91ED-43cb-92C2-25804820EDAC}">
            <c15:filteredScatterSeries>
              <c15:ser>
                <c:idx val="7"/>
                <c:order val="2"/>
                <c:tx>
                  <c:v>NEL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Data!$BX$13:$BX$48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0.12468121525775096</c:v>
                      </c:pt>
                      <c:pt idx="3">
                        <c:v>0.28830389831032693</c:v>
                      </c:pt>
                      <c:pt idx="6">
                        <c:v>0.58202985678683083</c:v>
                      </c:pt>
                      <c:pt idx="9">
                        <c:v>0.91337841655386887</c:v>
                      </c:pt>
                      <c:pt idx="12">
                        <c:v>2.2084575724429616</c:v>
                      </c:pt>
                      <c:pt idx="15">
                        <c:v>2.9897403406273693</c:v>
                      </c:pt>
                      <c:pt idx="18">
                        <c:v>6.1096384365746088</c:v>
                      </c:pt>
                      <c:pt idx="21">
                        <c:v>10.008493192019385</c:v>
                      </c:pt>
                      <c:pt idx="24">
                        <c:v>15.033362722610841</c:v>
                      </c:pt>
                      <c:pt idx="27">
                        <c:v>20.024606934273873</c:v>
                      </c:pt>
                      <c:pt idx="30">
                        <c:v>24.505569933852669</c:v>
                      </c:pt>
                      <c:pt idx="33">
                        <c:v>29.012929695783146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Data!$BN$13:$BN$48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0">
                        <c:v>-0.20334109478573162</c:v>
                      </c:pt>
                      <c:pt idx="3">
                        <c:v>0.42690078221513361</c:v>
                      </c:pt>
                      <c:pt idx="6">
                        <c:v>0.72781449723747504</c:v>
                      </c:pt>
                      <c:pt idx="9">
                        <c:v>0.37484665763125241</c:v>
                      </c:pt>
                      <c:pt idx="12">
                        <c:v>0.18597248680655462</c:v>
                      </c:pt>
                      <c:pt idx="15">
                        <c:v>2.3068981626606366E-2</c:v>
                      </c:pt>
                      <c:pt idx="18">
                        <c:v>2.6522051317007061E-2</c:v>
                      </c:pt>
                      <c:pt idx="21">
                        <c:v>-0.14857381562713842</c:v>
                      </c:pt>
                      <c:pt idx="24">
                        <c:v>-0.36970779034565582</c:v>
                      </c:pt>
                      <c:pt idx="27">
                        <c:v>-0.48386982215165436</c:v>
                      </c:pt>
                      <c:pt idx="30">
                        <c:v>-0.41208923207913645</c:v>
                      </c:pt>
                      <c:pt idx="33">
                        <c:v>-0.41567952962877985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F581-4B2F-912F-4F1D2B203494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NEL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Data!$BX$61:$BX$96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6">
                        <c:v>0.61449061266230498</c:v>
                      </c:pt>
                      <c:pt idx="9">
                        <c:v>1.0554256642960025</c:v>
                      </c:pt>
                      <c:pt idx="12">
                        <c:v>2.1886181344655875</c:v>
                      </c:pt>
                      <c:pt idx="15">
                        <c:v>3.0395350710572937</c:v>
                      </c:pt>
                      <c:pt idx="18">
                        <c:v>5.9965354335389724</c:v>
                      </c:pt>
                      <c:pt idx="21">
                        <c:v>10.197696034378197</c:v>
                      </c:pt>
                      <c:pt idx="24">
                        <c:v>15.336907652910918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Data!$BN$61:$BN$96</c15:sqref>
                        </c15:formulaRef>
                      </c:ext>
                    </c:extLst>
                    <c:numCache>
                      <c:formatCode>0.000</c:formatCode>
                      <c:ptCount val="36"/>
                      <c:pt idx="6">
                        <c:v>1.2732761641797516</c:v>
                      </c:pt>
                      <c:pt idx="9">
                        <c:v>1.1001247094642439</c:v>
                      </c:pt>
                      <c:pt idx="12">
                        <c:v>0.99014491798425197</c:v>
                      </c:pt>
                      <c:pt idx="15">
                        <c:v>0.59099738221847964</c:v>
                      </c:pt>
                      <c:pt idx="18">
                        <c:v>0.54181236812043776</c:v>
                      </c:pt>
                      <c:pt idx="21">
                        <c:v>0.22946234812523567</c:v>
                      </c:pt>
                      <c:pt idx="24">
                        <c:v>8.3963464022688172E-2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581-4B2F-912F-4F1D2B203494}"/>
                  </c:ext>
                </c:extLst>
              </c15:ser>
            </c15:filteredScatterSeries>
            <c15:filteredScatterSeries>
              <c15:ser>
                <c:idx val="2"/>
                <c:order val="6"/>
                <c:tx>
                  <c:v>KCRV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10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Data!$CG$31:$CG$48</c15:sqref>
                        </c15:formulaRef>
                      </c:ext>
                    </c:extLst>
                    <c:numCache>
                      <c:formatCode>0.00</c:formatCode>
                      <c:ptCount val="18"/>
                      <c:pt idx="0">
                        <c:v>6.0714506974557061</c:v>
                      </c:pt>
                      <c:pt idx="3">
                        <c:v>10.026608679575176</c:v>
                      </c:pt>
                      <c:pt idx="6">
                        <c:v>15.004196960291168</c:v>
                      </c:pt>
                      <c:pt idx="9">
                        <c:v>19.961974718568673</c:v>
                      </c:pt>
                      <c:pt idx="12">
                        <c:v>24.781990179885234</c:v>
                      </c:pt>
                      <c:pt idx="15">
                        <c:v>29.515271605574231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Data!$CH$31:$CH$48</c15:sqref>
                        </c15:formulaRef>
                      </c:ext>
                    </c:extLst>
                    <c:numCache>
                      <c:formatCode>General</c:formatCode>
                      <c:ptCount val="18"/>
                      <c:pt idx="0">
                        <c:v>0.10186005664859225</c:v>
                      </c:pt>
                      <c:pt idx="3">
                        <c:v>0.12943966321364025</c:v>
                      </c:pt>
                      <c:pt idx="6">
                        <c:v>0.11706131183155484</c:v>
                      </c:pt>
                      <c:pt idx="9">
                        <c:v>3.2743061236566645E-2</c:v>
                      </c:pt>
                      <c:pt idx="12">
                        <c:v>-0.2180046492228212</c:v>
                      </c:pt>
                      <c:pt idx="15">
                        <c:v>-0.2286269572521108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581-4B2F-912F-4F1D2B203494}"/>
                  </c:ext>
                </c:extLst>
              </c15:ser>
            </c15:filteredScatterSeries>
            <c15:filteredScatterSeries>
              <c15:ser>
                <c:idx val="5"/>
                <c:order val="7"/>
                <c:tx>
                  <c:v>KRVC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9"/>
                  <c:spPr>
                    <a:noFill/>
                    <a:ln w="190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Data!$CG$82:$CG$96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10.114791566389393</c:v>
                      </c:pt>
                      <c:pt idx="3">
                        <c:v>15.155485116292901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Data!$CH$82:$CH$96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0.25343452635866592</c:v>
                      </c:pt>
                      <c:pt idx="3">
                        <c:v>6.9428266798599952E-2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581-4B2F-912F-4F1D2B203494}"/>
                  </c:ext>
                </c:extLst>
              </c15:ser>
            </c15:filteredScatterSeries>
          </c:ext>
        </c:extLst>
      </c:scatterChart>
      <c:valAx>
        <c:axId val="910100944"/>
        <c:scaling>
          <c:orientation val="minMax"/>
          <c:max val="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Reference volume flow (m</a:t>
                </a:r>
                <a:r>
                  <a:rPr lang="en-GB" sz="1800" baseline="30000"/>
                  <a:t>3</a:t>
                </a:r>
                <a:r>
                  <a:rPr lang="en-GB" sz="1800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49760"/>
        <c:crossesAt val="-2"/>
        <c:crossBetween val="midCat"/>
      </c:valAx>
      <c:valAx>
        <c:axId val="982349760"/>
        <c:scaling>
          <c:orientation val="minMax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br>
                  <a:rPr lang="en-GB" sz="1800"/>
                </a:br>
                <a:r>
                  <a:rPr lang="en-GB" sz="1800"/>
                  <a:t>Error MUT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100944"/>
        <c:crossesAt val="-2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800"/>
              <a:t>|E</a:t>
            </a:r>
            <a:r>
              <a:rPr lang="en-GB" sz="1800" baseline="-25000"/>
              <a:t>n</a:t>
            </a:r>
            <a:r>
              <a:rPr lang="en-GB" sz="1800"/>
              <a:t>| for PGM meter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VSL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Data!$AA$61:$AA$96</c:f>
              <c:numCache>
                <c:formatCode>0.00</c:formatCode>
                <c:ptCount val="36"/>
                <c:pt idx="0">
                  <c:v>0.10076667174961189</c:v>
                </c:pt>
                <c:pt idx="3">
                  <c:v>0.29824329208234129</c:v>
                </c:pt>
                <c:pt idx="6">
                  <c:v>0.60320093474800318</c:v>
                </c:pt>
                <c:pt idx="9">
                  <c:v>0.99633687116623548</c:v>
                </c:pt>
                <c:pt idx="12">
                  <c:v>2.2319215395852616</c:v>
                </c:pt>
              </c:numCache>
            </c:numRef>
          </c:xVal>
          <c:yVal>
            <c:numRef>
              <c:f>Data!$CN$61:$CN$96</c:f>
              <c:numCache>
                <c:formatCode>0.00</c:formatCode>
                <c:ptCount val="36"/>
                <c:pt idx="0">
                  <c:v>3.028757404463038E-2</c:v>
                </c:pt>
                <c:pt idx="3">
                  <c:v>1.3579062466750662</c:v>
                </c:pt>
                <c:pt idx="6">
                  <c:v>1.716097887377148</c:v>
                </c:pt>
                <c:pt idx="9">
                  <c:v>0.21980425833088987</c:v>
                </c:pt>
                <c:pt idx="12">
                  <c:v>0.51056342707909874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D87-4F23-8FC8-5A114E2C5AE3}"/>
            </c:ext>
          </c:extLst>
        </c:ser>
        <c:ser>
          <c:idx val="4"/>
          <c:order val="4"/>
          <c:tx>
            <c:v>INRIM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Data!$AX$61:$AX$96</c:f>
              <c:numCache>
                <c:formatCode>0.00</c:formatCode>
                <c:ptCount val="36"/>
                <c:pt idx="0">
                  <c:v>9.7932527542691702E-2</c:v>
                </c:pt>
                <c:pt idx="3">
                  <c:v>0.3066275806128117</c:v>
                </c:pt>
                <c:pt idx="6">
                  <c:v>0.59946034688035343</c:v>
                </c:pt>
                <c:pt idx="9">
                  <c:v>1.0074401694946016</c:v>
                </c:pt>
                <c:pt idx="12">
                  <c:v>2.194274045947795</c:v>
                </c:pt>
                <c:pt idx="15">
                  <c:v>3.0120259024001954</c:v>
                </c:pt>
                <c:pt idx="18">
                  <c:v>6.0402363323624355</c:v>
                </c:pt>
                <c:pt idx="21">
                  <c:v>10.031887098400588</c:v>
                </c:pt>
                <c:pt idx="24">
                  <c:v>14.974062579674886</c:v>
                </c:pt>
                <c:pt idx="27">
                  <c:v>19.905323579731444</c:v>
                </c:pt>
                <c:pt idx="30">
                  <c:v>25.059225399331041</c:v>
                </c:pt>
                <c:pt idx="33">
                  <c:v>30.019009783255786</c:v>
                </c:pt>
              </c:numCache>
            </c:numRef>
          </c:xVal>
          <c:yVal>
            <c:numRef>
              <c:f>Data!$CQ$61:$CQ$96</c:f>
              <c:numCache>
                <c:formatCode>0.00</c:formatCode>
                <c:ptCount val="36"/>
                <c:pt idx="0">
                  <c:v>3.0287574044633406E-2</c:v>
                </c:pt>
                <c:pt idx="3">
                  <c:v>1.3579062466750662</c:v>
                </c:pt>
                <c:pt idx="6">
                  <c:v>0.52661366774400009</c:v>
                </c:pt>
                <c:pt idx="9">
                  <c:v>1.4171061972936476</c:v>
                </c:pt>
                <c:pt idx="12">
                  <c:v>1.4629867106549623</c:v>
                </c:pt>
                <c:pt idx="15">
                  <c:v>1.1309992738699965</c:v>
                </c:pt>
                <c:pt idx="18">
                  <c:v>1.0486591342467091</c:v>
                </c:pt>
                <c:pt idx="21">
                  <c:v>9.0185674351450265E-2</c:v>
                </c:pt>
                <c:pt idx="24">
                  <c:v>1.2220153423518863E-2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9D87-4F23-8FC8-5A114E2C5AE3}"/>
            </c:ext>
          </c:extLst>
        </c:ser>
        <c:ser>
          <c:idx val="6"/>
          <c:order val="5"/>
          <c:tx>
            <c:v>NEL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Data!$BX$61:$BX$96</c:f>
              <c:numCache>
                <c:formatCode>0.00</c:formatCode>
                <c:ptCount val="36"/>
                <c:pt idx="6">
                  <c:v>0.61449061266230498</c:v>
                </c:pt>
                <c:pt idx="9">
                  <c:v>1.0554256642960025</c:v>
                </c:pt>
                <c:pt idx="12">
                  <c:v>2.1886181344655875</c:v>
                </c:pt>
                <c:pt idx="15">
                  <c:v>3.0395350710572937</c:v>
                </c:pt>
                <c:pt idx="18">
                  <c:v>5.9965354335389724</c:v>
                </c:pt>
                <c:pt idx="21">
                  <c:v>10.197696034378197</c:v>
                </c:pt>
                <c:pt idx="24">
                  <c:v>15.336907652910918</c:v>
                </c:pt>
              </c:numCache>
            </c:numRef>
          </c:xVal>
          <c:yVal>
            <c:numRef>
              <c:f>Data!$CT$61:$CT$96</c:f>
              <c:numCache>
                <c:formatCode>0.00</c:formatCode>
                <c:ptCount val="36"/>
                <c:pt idx="6">
                  <c:v>2.0497241564332285</c:v>
                </c:pt>
                <c:pt idx="9">
                  <c:v>1.8115176942460898</c:v>
                </c:pt>
                <c:pt idx="12">
                  <c:v>1.6657778148146389</c:v>
                </c:pt>
                <c:pt idx="15">
                  <c:v>1.130999273869997</c:v>
                </c:pt>
                <c:pt idx="18">
                  <c:v>1.0486591342467093</c:v>
                </c:pt>
                <c:pt idx="21">
                  <c:v>9.0185674351450376E-2</c:v>
                </c:pt>
                <c:pt idx="24">
                  <c:v>1.222015342351873E-2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9D87-4F23-8FC8-5A114E2C5AE3}"/>
            </c:ext>
          </c:extLst>
        </c:ser>
        <c:ser>
          <c:idx val="12"/>
          <c:order val="9"/>
          <c:tx>
            <c:v>Warning level</c:v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Sheet2!$D$8:$D$9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9D87-4F23-8FC8-5A114E2C5AE3}"/>
            </c:ext>
          </c:extLst>
        </c:ser>
        <c:ser>
          <c:idx val="13"/>
          <c:order val="10"/>
          <c:tx>
            <c:v>Critical level</c:v>
          </c:tx>
          <c:spPr>
            <a:ln w="2540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Sheet2!$E$8:$E$9</c:f>
              <c:numCache>
                <c:formatCode>General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9D87-4F23-8FC8-5A114E2C5A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00944"/>
        <c:axId val="9823497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VSL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rgbClr val="00B0F0"/>
                    </a:solidFill>
                    <a:ln w="63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Data!$AA$13:$AA$48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0.1010091883757528</c:v>
                      </c:pt>
                      <c:pt idx="3">
                        <c:v>0.30041371363641883</c:v>
                      </c:pt>
                      <c:pt idx="6">
                        <c:v>0.60131523190555836</c:v>
                      </c:pt>
                      <c:pt idx="9">
                        <c:v>1.0093249219969724</c:v>
                      </c:pt>
                      <c:pt idx="12">
                        <c:v>2.225212455708538</c:v>
                      </c:pt>
                      <c:pt idx="15">
                        <c:v>2.926365045233871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Data!$CN$13:$CN$48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0.54893974614755736</c:v>
                      </c:pt>
                      <c:pt idx="3">
                        <c:v>0.54543914133174054</c:v>
                      </c:pt>
                      <c:pt idx="6">
                        <c:v>3.5818939352327589E-3</c:v>
                      </c:pt>
                      <c:pt idx="9">
                        <c:v>0.17826252350802138</c:v>
                      </c:pt>
                      <c:pt idx="12">
                        <c:v>1.2897386944486053</c:v>
                      </c:pt>
                      <c:pt idx="15">
                        <c:v>0.79554093066521092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9D87-4F23-8FC8-5A114E2C5AE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INRIM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4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Data!$AX$13:$AX$48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9.7141802854239609E-2</c:v>
                      </c:pt>
                      <c:pt idx="3">
                        <c:v>0.30724484795214563</c:v>
                      </c:pt>
                      <c:pt idx="6">
                        <c:v>0.60123969640282426</c:v>
                      </c:pt>
                      <c:pt idx="9">
                        <c:v>1.0044766413317257</c:v>
                      </c:pt>
                      <c:pt idx="12">
                        <c:v>2.197276697598229</c:v>
                      </c:pt>
                      <c:pt idx="15">
                        <c:v>3.0064065923272718</c:v>
                      </c:pt>
                      <c:pt idx="18">
                        <c:v>6.0332629583368025</c:v>
                      </c:pt>
                      <c:pt idx="21">
                        <c:v>10.044724167130965</c:v>
                      </c:pt>
                      <c:pt idx="24">
                        <c:v>14.975031197971497</c:v>
                      </c:pt>
                      <c:pt idx="27">
                        <c:v>19.899342502863473</c:v>
                      </c:pt>
                      <c:pt idx="30">
                        <c:v>25.058410425917796</c:v>
                      </c:pt>
                      <c:pt idx="33">
                        <c:v>30.017613515365316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Data!$CQ$13:$CQ$48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0.2955240858403288</c:v>
                      </c:pt>
                      <c:pt idx="3">
                        <c:v>0.15180250425335401</c:v>
                      </c:pt>
                      <c:pt idx="6">
                        <c:v>0.7700482863479845</c:v>
                      </c:pt>
                      <c:pt idx="9">
                        <c:v>0.28127245556616298</c:v>
                      </c:pt>
                      <c:pt idx="12">
                        <c:v>1.195268855423522</c:v>
                      </c:pt>
                      <c:pt idx="15">
                        <c:v>0.47264374170750151</c:v>
                      </c:pt>
                      <c:pt idx="18">
                        <c:v>0.28050523035591396</c:v>
                      </c:pt>
                      <c:pt idx="21">
                        <c:v>0.74495037454596702</c:v>
                      </c:pt>
                      <c:pt idx="24">
                        <c:v>1.2732005076891255</c:v>
                      </c:pt>
                      <c:pt idx="27">
                        <c:v>1.3538359155868966</c:v>
                      </c:pt>
                      <c:pt idx="30">
                        <c:v>0.65323814441299455</c:v>
                      </c:pt>
                      <c:pt idx="33">
                        <c:v>0.61246345620165543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D87-4F23-8FC8-5A114E2C5AE3}"/>
                  </c:ext>
                </c:extLst>
              </c15:ser>
            </c15:filteredScatterSeries>
            <c15:filteredScatterSeries>
              <c15:ser>
                <c:idx val="7"/>
                <c:order val="2"/>
                <c:tx>
                  <c:v>NEL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Data!$BX$13:$BX$48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0.12468121525775096</c:v>
                      </c:pt>
                      <c:pt idx="3">
                        <c:v>0.28830389831032693</c:v>
                      </c:pt>
                      <c:pt idx="6">
                        <c:v>0.58202985678683083</c:v>
                      </c:pt>
                      <c:pt idx="9">
                        <c:v>0.91337841655386887</c:v>
                      </c:pt>
                      <c:pt idx="12">
                        <c:v>2.2084575724429616</c:v>
                      </c:pt>
                      <c:pt idx="15">
                        <c:v>2.9897403406273693</c:v>
                      </c:pt>
                      <c:pt idx="18">
                        <c:v>6.1096384365746088</c:v>
                      </c:pt>
                      <c:pt idx="21">
                        <c:v>10.008493192019385</c:v>
                      </c:pt>
                      <c:pt idx="24">
                        <c:v>15.033362722610841</c:v>
                      </c:pt>
                      <c:pt idx="27">
                        <c:v>20.024606934273873</c:v>
                      </c:pt>
                      <c:pt idx="30">
                        <c:v>24.505569933852669</c:v>
                      </c:pt>
                      <c:pt idx="33">
                        <c:v>29.012929695783146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Data!$CT$13:$CT$48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0.44786898685370086</c:v>
                      </c:pt>
                      <c:pt idx="3">
                        <c:v>0.64068245330842932</c:v>
                      </c:pt>
                      <c:pt idx="6">
                        <c:v>0.89955319876036</c:v>
                      </c:pt>
                      <c:pt idx="9">
                        <c:v>6.795669141114484E-2</c:v>
                      </c:pt>
                      <c:pt idx="12">
                        <c:v>2.9607973501760941E-2</c:v>
                      </c:pt>
                      <c:pt idx="15">
                        <c:v>0.58867540519041484</c:v>
                      </c:pt>
                      <c:pt idx="18">
                        <c:v>0.28050523035591385</c:v>
                      </c:pt>
                      <c:pt idx="21">
                        <c:v>0.74495037454596713</c:v>
                      </c:pt>
                      <c:pt idx="24">
                        <c:v>1.2732005076891248</c:v>
                      </c:pt>
                      <c:pt idx="27">
                        <c:v>1.3538359155868962</c:v>
                      </c:pt>
                      <c:pt idx="30">
                        <c:v>0.65323814441299455</c:v>
                      </c:pt>
                      <c:pt idx="33">
                        <c:v>0.61246345620165532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D87-4F23-8FC8-5A114E2C5AE3}"/>
                  </c:ext>
                </c:extLst>
              </c15:ser>
            </c15:filteredScatterSeries>
            <c15:filteredScatterSeries>
              <c15:ser>
                <c:idx val="2"/>
                <c:order val="6"/>
                <c:tx>
                  <c:v>KCRV 10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10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Data!$CG$27:$CG$39</c15:sqref>
                        </c15:formulaRef>
                      </c:ext>
                    </c:extLst>
                    <c:numCache>
                      <c:formatCode>0.00</c:formatCode>
                      <c:ptCount val="13"/>
                      <c:pt idx="1">
                        <c:v>2.9741706593961705</c:v>
                      </c:pt>
                      <c:pt idx="4">
                        <c:v>6.0714506974557061</c:v>
                      </c:pt>
                      <c:pt idx="7">
                        <c:v>10.026608679575176</c:v>
                      </c:pt>
                      <c:pt idx="10">
                        <c:v>15.004196960291168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Data!$CH$27:$CH$39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0.29244887112641815</c:v>
                      </c:pt>
                      <c:pt idx="4">
                        <c:v>0.10186005664859225</c:v>
                      </c:pt>
                      <c:pt idx="7">
                        <c:v>0.12943966321364025</c:v>
                      </c:pt>
                      <c:pt idx="10">
                        <c:v>0.11706131183155484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D87-4F23-8FC8-5A114E2C5AE3}"/>
                  </c:ext>
                </c:extLst>
              </c15:ser>
            </c15:filteredScatterSeries>
            <c15:filteredScatterSeries>
              <c15:ser>
                <c:idx val="5"/>
                <c:order val="7"/>
                <c:tx>
                  <c:v>KRVC 30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9"/>
                  <c:spPr>
                    <a:noFill/>
                    <a:ln w="190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Data!$CG$71:$CG$78</c15:sqref>
                        </c15:formulaRef>
                      </c:ext>
                    </c:extLst>
                    <c:numCache>
                      <c:formatCode>0.00</c:formatCode>
                      <c:ptCount val="8"/>
                      <c:pt idx="2">
                        <c:v>2.2049379066662147</c:v>
                      </c:pt>
                      <c:pt idx="5">
                        <c:v>3.0257804867287446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Data!$CH$71:$CH$78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2">
                        <c:v>0.2858611745617875</c:v>
                      </c:pt>
                      <c:pt idx="5">
                        <c:v>0.1661012743086176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D87-4F23-8FC8-5A114E2C5AE3}"/>
                  </c:ext>
                </c:extLst>
              </c15:ser>
            </c15:filteredScatterSeries>
            <c15:filteredScatterSeries>
              <c15:ser>
                <c:idx val="10"/>
                <c:order val="8"/>
                <c:tx>
                  <c:v>KRVC 50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9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D87-4F23-8FC8-5A114E2C5AE3}"/>
                  </c:ext>
                </c:extLst>
              </c15:ser>
            </c15:filteredScatterSeries>
          </c:ext>
        </c:extLst>
      </c:scatterChart>
      <c:valAx>
        <c:axId val="910100944"/>
        <c:scaling>
          <c:orientation val="minMax"/>
          <c:max val="3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Reference volume flow (m</a:t>
                </a:r>
                <a:r>
                  <a:rPr lang="en-GB" sz="1800" baseline="30000"/>
                  <a:t>3</a:t>
                </a:r>
                <a:r>
                  <a:rPr lang="en-GB" sz="1800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49760"/>
        <c:crossesAt val="-0.60000000000000009"/>
        <c:crossBetween val="midCat"/>
      </c:valAx>
      <c:valAx>
        <c:axId val="98234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br>
                  <a:rPr lang="en-GB" sz="1800"/>
                </a:br>
                <a:r>
                  <a:rPr lang="en-GB" sz="1800"/>
                  <a:t>|En|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100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800"/>
              <a:t>|E</a:t>
            </a:r>
            <a:r>
              <a:rPr lang="en-GB" sz="1800" baseline="-25000"/>
              <a:t>n</a:t>
            </a:r>
            <a:r>
              <a:rPr lang="en-GB" sz="1800"/>
              <a:t>| for PGM meter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VSL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Data!$AA$61:$AA$96</c:f>
              <c:numCache>
                <c:formatCode>0.00</c:formatCode>
                <c:ptCount val="36"/>
                <c:pt idx="0">
                  <c:v>0.10076667174961189</c:v>
                </c:pt>
                <c:pt idx="3">
                  <c:v>0.29824329208234129</c:v>
                </c:pt>
                <c:pt idx="6">
                  <c:v>0.60320093474800318</c:v>
                </c:pt>
                <c:pt idx="9">
                  <c:v>0.99633687116623548</c:v>
                </c:pt>
                <c:pt idx="12">
                  <c:v>2.2319215395852616</c:v>
                </c:pt>
              </c:numCache>
            </c:numRef>
          </c:xVal>
          <c:yVal>
            <c:numRef>
              <c:f>Data!$CN$61:$CN$96</c:f>
              <c:numCache>
                <c:formatCode>0.00</c:formatCode>
                <c:ptCount val="36"/>
                <c:pt idx="0">
                  <c:v>3.028757404463038E-2</c:v>
                </c:pt>
                <c:pt idx="3">
                  <c:v>1.3579062466750662</c:v>
                </c:pt>
                <c:pt idx="6">
                  <c:v>1.716097887377148</c:v>
                </c:pt>
                <c:pt idx="9">
                  <c:v>0.21980425833088987</c:v>
                </c:pt>
                <c:pt idx="12">
                  <c:v>0.51056342707909874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8085-479D-A83D-8D7E0A1568E0}"/>
            </c:ext>
          </c:extLst>
        </c:ser>
        <c:ser>
          <c:idx val="4"/>
          <c:order val="4"/>
          <c:tx>
            <c:v>INRIM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4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Data!$AX$61:$AX$96</c:f>
              <c:numCache>
                <c:formatCode>0.00</c:formatCode>
                <c:ptCount val="36"/>
                <c:pt idx="0">
                  <c:v>9.7932527542691702E-2</c:v>
                </c:pt>
                <c:pt idx="3">
                  <c:v>0.3066275806128117</c:v>
                </c:pt>
                <c:pt idx="6">
                  <c:v>0.59946034688035343</c:v>
                </c:pt>
                <c:pt idx="9">
                  <c:v>1.0074401694946016</c:v>
                </c:pt>
                <c:pt idx="12">
                  <c:v>2.194274045947795</c:v>
                </c:pt>
                <c:pt idx="15">
                  <c:v>3.0120259024001954</c:v>
                </c:pt>
                <c:pt idx="18">
                  <c:v>6.0402363323624355</c:v>
                </c:pt>
                <c:pt idx="21">
                  <c:v>10.031887098400588</c:v>
                </c:pt>
                <c:pt idx="24">
                  <c:v>14.974062579674886</c:v>
                </c:pt>
                <c:pt idx="27">
                  <c:v>19.905323579731444</c:v>
                </c:pt>
                <c:pt idx="30">
                  <c:v>25.059225399331041</c:v>
                </c:pt>
                <c:pt idx="33">
                  <c:v>30.019009783255786</c:v>
                </c:pt>
              </c:numCache>
            </c:numRef>
          </c:xVal>
          <c:yVal>
            <c:numRef>
              <c:f>Data!$CQ$61:$CQ$96</c:f>
              <c:numCache>
                <c:formatCode>0.00</c:formatCode>
                <c:ptCount val="36"/>
                <c:pt idx="0">
                  <c:v>3.0287574044633406E-2</c:v>
                </c:pt>
                <c:pt idx="3">
                  <c:v>1.3579062466750662</c:v>
                </c:pt>
                <c:pt idx="6">
                  <c:v>0.52661366774400009</c:v>
                </c:pt>
                <c:pt idx="9">
                  <c:v>1.4171061972936476</c:v>
                </c:pt>
                <c:pt idx="12">
                  <c:v>1.4629867106549623</c:v>
                </c:pt>
                <c:pt idx="15">
                  <c:v>1.1309992738699965</c:v>
                </c:pt>
                <c:pt idx="18">
                  <c:v>1.0486591342467091</c:v>
                </c:pt>
                <c:pt idx="21">
                  <c:v>9.0185674351450265E-2</c:v>
                </c:pt>
                <c:pt idx="24">
                  <c:v>1.2220153423518863E-2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8085-479D-A83D-8D7E0A1568E0}"/>
            </c:ext>
          </c:extLst>
        </c:ser>
        <c:ser>
          <c:idx val="6"/>
          <c:order val="5"/>
          <c:tx>
            <c:v>NEL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Data!$BX$61:$BX$96</c:f>
              <c:numCache>
                <c:formatCode>0.00</c:formatCode>
                <c:ptCount val="36"/>
                <c:pt idx="6">
                  <c:v>0.61449061266230498</c:v>
                </c:pt>
                <c:pt idx="9">
                  <c:v>1.0554256642960025</c:v>
                </c:pt>
                <c:pt idx="12">
                  <c:v>2.1886181344655875</c:v>
                </c:pt>
                <c:pt idx="15">
                  <c:v>3.0395350710572937</c:v>
                </c:pt>
                <c:pt idx="18">
                  <c:v>5.9965354335389724</c:v>
                </c:pt>
                <c:pt idx="21">
                  <c:v>10.197696034378197</c:v>
                </c:pt>
                <c:pt idx="24">
                  <c:v>15.336907652910918</c:v>
                </c:pt>
              </c:numCache>
            </c:numRef>
          </c:xVal>
          <c:yVal>
            <c:numRef>
              <c:f>Data!$CT$61:$CT$96</c:f>
              <c:numCache>
                <c:formatCode>0.00</c:formatCode>
                <c:ptCount val="36"/>
                <c:pt idx="6">
                  <c:v>2.0497241564332285</c:v>
                </c:pt>
                <c:pt idx="9">
                  <c:v>1.8115176942460898</c:v>
                </c:pt>
                <c:pt idx="12">
                  <c:v>1.6657778148146389</c:v>
                </c:pt>
                <c:pt idx="15">
                  <c:v>1.130999273869997</c:v>
                </c:pt>
                <c:pt idx="18">
                  <c:v>1.0486591342467093</c:v>
                </c:pt>
                <c:pt idx="21">
                  <c:v>9.0185674351450376E-2</c:v>
                </c:pt>
                <c:pt idx="24">
                  <c:v>1.222015342351873E-2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8085-479D-A83D-8D7E0A1568E0}"/>
            </c:ext>
          </c:extLst>
        </c:ser>
        <c:ser>
          <c:idx val="12"/>
          <c:order val="9"/>
          <c:tx>
            <c:v>Warning level</c:v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Sheet2!$D$8:$D$9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085-479D-A83D-8D7E0A1568E0}"/>
            </c:ext>
          </c:extLst>
        </c:ser>
        <c:ser>
          <c:idx val="13"/>
          <c:order val="10"/>
          <c:tx>
            <c:v>Critical level</c:v>
          </c:tx>
          <c:spPr>
            <a:ln w="2540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Sheet2!$E$8:$E$9</c:f>
              <c:numCache>
                <c:formatCode>General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085-479D-A83D-8D7E0A156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00944"/>
        <c:axId val="9823497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VSL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rgbClr val="00B0F0"/>
                    </a:solidFill>
                    <a:ln w="63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Data!$AA$13:$AA$48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0.1010091883757528</c:v>
                      </c:pt>
                      <c:pt idx="3">
                        <c:v>0.30041371363641883</c:v>
                      </c:pt>
                      <c:pt idx="6">
                        <c:v>0.60131523190555836</c:v>
                      </c:pt>
                      <c:pt idx="9">
                        <c:v>1.0093249219969724</c:v>
                      </c:pt>
                      <c:pt idx="12">
                        <c:v>2.225212455708538</c:v>
                      </c:pt>
                      <c:pt idx="15">
                        <c:v>2.926365045233871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Data!$CN$13:$CN$48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0.54893974614755736</c:v>
                      </c:pt>
                      <c:pt idx="3">
                        <c:v>0.54543914133174054</c:v>
                      </c:pt>
                      <c:pt idx="6">
                        <c:v>3.5818939352327589E-3</c:v>
                      </c:pt>
                      <c:pt idx="9">
                        <c:v>0.17826252350802138</c:v>
                      </c:pt>
                      <c:pt idx="12">
                        <c:v>1.2897386944486053</c:v>
                      </c:pt>
                      <c:pt idx="15">
                        <c:v>0.79554093066521092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8085-479D-A83D-8D7E0A1568E0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INRIM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4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Data!$AX$13:$AX$48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9.7141802854239609E-2</c:v>
                      </c:pt>
                      <c:pt idx="3">
                        <c:v>0.30724484795214563</c:v>
                      </c:pt>
                      <c:pt idx="6">
                        <c:v>0.60123969640282426</c:v>
                      </c:pt>
                      <c:pt idx="9">
                        <c:v>1.0044766413317257</c:v>
                      </c:pt>
                      <c:pt idx="12">
                        <c:v>2.197276697598229</c:v>
                      </c:pt>
                      <c:pt idx="15">
                        <c:v>3.0064065923272718</c:v>
                      </c:pt>
                      <c:pt idx="18">
                        <c:v>6.0332629583368025</c:v>
                      </c:pt>
                      <c:pt idx="21">
                        <c:v>10.044724167130965</c:v>
                      </c:pt>
                      <c:pt idx="24">
                        <c:v>14.975031197971497</c:v>
                      </c:pt>
                      <c:pt idx="27">
                        <c:v>19.899342502863473</c:v>
                      </c:pt>
                      <c:pt idx="30">
                        <c:v>25.058410425917796</c:v>
                      </c:pt>
                      <c:pt idx="33">
                        <c:v>30.017613515365316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Data!$CQ$13:$CQ$48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0.2955240858403288</c:v>
                      </c:pt>
                      <c:pt idx="3">
                        <c:v>0.15180250425335401</c:v>
                      </c:pt>
                      <c:pt idx="6">
                        <c:v>0.7700482863479845</c:v>
                      </c:pt>
                      <c:pt idx="9">
                        <c:v>0.28127245556616298</c:v>
                      </c:pt>
                      <c:pt idx="12">
                        <c:v>1.195268855423522</c:v>
                      </c:pt>
                      <c:pt idx="15">
                        <c:v>0.47264374170750151</c:v>
                      </c:pt>
                      <c:pt idx="18">
                        <c:v>0.28050523035591396</c:v>
                      </c:pt>
                      <c:pt idx="21">
                        <c:v>0.74495037454596702</c:v>
                      </c:pt>
                      <c:pt idx="24">
                        <c:v>1.2732005076891255</c:v>
                      </c:pt>
                      <c:pt idx="27">
                        <c:v>1.3538359155868966</c:v>
                      </c:pt>
                      <c:pt idx="30">
                        <c:v>0.65323814441299455</c:v>
                      </c:pt>
                      <c:pt idx="33">
                        <c:v>0.61246345620165543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085-479D-A83D-8D7E0A1568E0}"/>
                  </c:ext>
                </c:extLst>
              </c15:ser>
            </c15:filteredScatterSeries>
            <c15:filteredScatterSeries>
              <c15:ser>
                <c:idx val="7"/>
                <c:order val="2"/>
                <c:tx>
                  <c:v>NEL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Data!$BX$13:$BX$48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0.12468121525775096</c:v>
                      </c:pt>
                      <c:pt idx="3">
                        <c:v>0.28830389831032693</c:v>
                      </c:pt>
                      <c:pt idx="6">
                        <c:v>0.58202985678683083</c:v>
                      </c:pt>
                      <c:pt idx="9">
                        <c:v>0.91337841655386887</c:v>
                      </c:pt>
                      <c:pt idx="12">
                        <c:v>2.2084575724429616</c:v>
                      </c:pt>
                      <c:pt idx="15">
                        <c:v>2.9897403406273693</c:v>
                      </c:pt>
                      <c:pt idx="18">
                        <c:v>6.1096384365746088</c:v>
                      </c:pt>
                      <c:pt idx="21">
                        <c:v>10.008493192019385</c:v>
                      </c:pt>
                      <c:pt idx="24">
                        <c:v>15.033362722610841</c:v>
                      </c:pt>
                      <c:pt idx="27">
                        <c:v>20.024606934273873</c:v>
                      </c:pt>
                      <c:pt idx="30">
                        <c:v>24.505569933852669</c:v>
                      </c:pt>
                      <c:pt idx="33">
                        <c:v>29.012929695783146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Data!$CT$13:$CT$48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0.44786898685370086</c:v>
                      </c:pt>
                      <c:pt idx="3">
                        <c:v>0.64068245330842932</c:v>
                      </c:pt>
                      <c:pt idx="6">
                        <c:v>0.89955319876036</c:v>
                      </c:pt>
                      <c:pt idx="9">
                        <c:v>6.795669141114484E-2</c:v>
                      </c:pt>
                      <c:pt idx="12">
                        <c:v>2.9607973501760941E-2</c:v>
                      </c:pt>
                      <c:pt idx="15">
                        <c:v>0.58867540519041484</c:v>
                      </c:pt>
                      <c:pt idx="18">
                        <c:v>0.28050523035591385</c:v>
                      </c:pt>
                      <c:pt idx="21">
                        <c:v>0.74495037454596713</c:v>
                      </c:pt>
                      <c:pt idx="24">
                        <c:v>1.2732005076891248</c:v>
                      </c:pt>
                      <c:pt idx="27">
                        <c:v>1.3538359155868962</c:v>
                      </c:pt>
                      <c:pt idx="30">
                        <c:v>0.65323814441299455</c:v>
                      </c:pt>
                      <c:pt idx="33">
                        <c:v>0.61246345620165532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085-479D-A83D-8D7E0A1568E0}"/>
                  </c:ext>
                </c:extLst>
              </c15:ser>
            </c15:filteredScatterSeries>
            <c15:filteredScatterSeries>
              <c15:ser>
                <c:idx val="2"/>
                <c:order val="6"/>
                <c:tx>
                  <c:v>KCRV 10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10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Data!$CG$27:$CG$39</c15:sqref>
                        </c15:formulaRef>
                      </c:ext>
                    </c:extLst>
                    <c:numCache>
                      <c:formatCode>0.00</c:formatCode>
                      <c:ptCount val="13"/>
                      <c:pt idx="1">
                        <c:v>2.9741706593961705</c:v>
                      </c:pt>
                      <c:pt idx="4">
                        <c:v>6.0714506974557061</c:v>
                      </c:pt>
                      <c:pt idx="7">
                        <c:v>10.026608679575176</c:v>
                      </c:pt>
                      <c:pt idx="10">
                        <c:v>15.004196960291168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Data!$CH$27:$CH$39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0.29244887112641815</c:v>
                      </c:pt>
                      <c:pt idx="4">
                        <c:v>0.10186005664859225</c:v>
                      </c:pt>
                      <c:pt idx="7">
                        <c:v>0.12943966321364025</c:v>
                      </c:pt>
                      <c:pt idx="10">
                        <c:v>0.11706131183155484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8085-479D-A83D-8D7E0A1568E0}"/>
                  </c:ext>
                </c:extLst>
              </c15:ser>
            </c15:filteredScatterSeries>
            <c15:filteredScatterSeries>
              <c15:ser>
                <c:idx val="5"/>
                <c:order val="7"/>
                <c:tx>
                  <c:v>KRVC 30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9"/>
                  <c:spPr>
                    <a:noFill/>
                    <a:ln w="190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Data!$CG$71:$CG$78</c15:sqref>
                        </c15:formulaRef>
                      </c:ext>
                    </c:extLst>
                    <c:numCache>
                      <c:formatCode>0.00</c:formatCode>
                      <c:ptCount val="8"/>
                      <c:pt idx="2">
                        <c:v>2.2049379066662147</c:v>
                      </c:pt>
                      <c:pt idx="5">
                        <c:v>3.0257804867287446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Data!$CH$71:$CH$78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2">
                        <c:v>0.2858611745617875</c:v>
                      </c:pt>
                      <c:pt idx="5">
                        <c:v>0.1661012743086176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8085-479D-A83D-8D7E0A1568E0}"/>
                  </c:ext>
                </c:extLst>
              </c15:ser>
            </c15:filteredScatterSeries>
            <c15:filteredScatterSeries>
              <c15:ser>
                <c:idx val="10"/>
                <c:order val="8"/>
                <c:tx>
                  <c:v>KRVC 50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9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8085-479D-A83D-8D7E0A1568E0}"/>
                  </c:ext>
                </c:extLst>
              </c15:ser>
            </c15:filteredScatterSeries>
          </c:ext>
        </c:extLst>
      </c:scatterChart>
      <c:valAx>
        <c:axId val="91010094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Reference volume flow (m</a:t>
                </a:r>
                <a:r>
                  <a:rPr lang="en-GB" sz="1800" baseline="30000"/>
                  <a:t>3</a:t>
                </a:r>
                <a:r>
                  <a:rPr lang="en-GB" sz="1800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49760"/>
        <c:crossesAt val="-0.60000000000000009"/>
        <c:crossBetween val="midCat"/>
      </c:valAx>
      <c:valAx>
        <c:axId val="98234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br>
                  <a:rPr lang="en-GB" sz="1800"/>
                </a:br>
                <a:r>
                  <a:rPr lang="en-GB" sz="1800"/>
                  <a:t>|En|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100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8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800"/>
              <a:t>|E</a:t>
            </a:r>
            <a:r>
              <a:rPr lang="en-GB" sz="1800" baseline="-25000"/>
              <a:t>n</a:t>
            </a:r>
            <a:r>
              <a:rPr lang="en-GB" sz="1800"/>
              <a:t>| for PGM meter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8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En VSL-INRIM CO2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8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  <a:effectLst/>
            </c:spPr>
          </c:marker>
          <c:xVal>
            <c:numRef>
              <c:f>Data!$AA$61:$AA$96</c:f>
              <c:numCache>
                <c:formatCode>0.00</c:formatCode>
                <c:ptCount val="36"/>
                <c:pt idx="0">
                  <c:v>0.10076667174961189</c:v>
                </c:pt>
                <c:pt idx="3">
                  <c:v>0.29824329208234129</c:v>
                </c:pt>
                <c:pt idx="6">
                  <c:v>0.60320093474800318</c:v>
                </c:pt>
                <c:pt idx="9">
                  <c:v>0.99633687116623548</c:v>
                </c:pt>
                <c:pt idx="12">
                  <c:v>2.2319215395852616</c:v>
                </c:pt>
              </c:numCache>
            </c:numRef>
          </c:xVal>
          <c:yVal>
            <c:numRef>
              <c:f>Data!$AY$61:$AY$75</c:f>
              <c:numCache>
                <c:formatCode>0.00</c:formatCode>
                <c:ptCount val="15"/>
                <c:pt idx="0">
                  <c:v>3.0287574044633402E-2</c:v>
                </c:pt>
                <c:pt idx="3">
                  <c:v>1.3579062466750662</c:v>
                </c:pt>
                <c:pt idx="6">
                  <c:v>0.3584644924624385</c:v>
                </c:pt>
                <c:pt idx="9">
                  <c:v>0.99564458249608989</c:v>
                </c:pt>
                <c:pt idx="12">
                  <c:v>1.0059165615675063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B803-420B-A8F3-11F7C11347FC}"/>
            </c:ext>
          </c:extLst>
        </c:ser>
        <c:ser>
          <c:idx val="12"/>
          <c:order val="9"/>
          <c:tx>
            <c:v>Warning level</c:v>
          </c:tx>
          <c:spPr>
            <a:ln w="254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Sheet2!$D$8:$D$9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803-420B-A8F3-11F7C11347FC}"/>
            </c:ext>
          </c:extLst>
        </c:ser>
        <c:ser>
          <c:idx val="13"/>
          <c:order val="10"/>
          <c:tx>
            <c:v>Critical level</c:v>
          </c:tx>
          <c:spPr>
            <a:ln w="25400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Sheet2!$C$8:$C$9</c:f>
              <c:numCache>
                <c:formatCode>0.00E+00</c:formatCode>
                <c:ptCount val="2"/>
                <c:pt idx="0">
                  <c:v>0</c:v>
                </c:pt>
                <c:pt idx="1">
                  <c:v>35</c:v>
                </c:pt>
              </c:numCache>
            </c:numRef>
          </c:xVal>
          <c:yVal>
            <c:numRef>
              <c:f>Sheet2!$E$8:$E$9</c:f>
              <c:numCache>
                <c:formatCode>General</c:formatCode>
                <c:ptCount val="2"/>
                <c:pt idx="0">
                  <c:v>1.2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803-420B-A8F3-11F7C1134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00944"/>
        <c:axId val="9823497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VSL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rgbClr val="00B0F0"/>
                    </a:solidFill>
                    <a:ln w="63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Data!$AA$13:$AA$48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0.1010091883757528</c:v>
                      </c:pt>
                      <c:pt idx="3">
                        <c:v>0.30041371363641883</c:v>
                      </c:pt>
                      <c:pt idx="6">
                        <c:v>0.60131523190555836</c:v>
                      </c:pt>
                      <c:pt idx="9">
                        <c:v>1.0093249219969724</c:v>
                      </c:pt>
                      <c:pt idx="12">
                        <c:v>2.225212455708538</c:v>
                      </c:pt>
                      <c:pt idx="15">
                        <c:v>2.926365045233871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Data!$CN$13:$CN$48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0.54893974614755736</c:v>
                      </c:pt>
                      <c:pt idx="3">
                        <c:v>0.54543914133174054</c:v>
                      </c:pt>
                      <c:pt idx="6">
                        <c:v>3.5818939352327589E-3</c:v>
                      </c:pt>
                      <c:pt idx="9">
                        <c:v>0.17826252350802138</c:v>
                      </c:pt>
                      <c:pt idx="12">
                        <c:v>1.2897386944486053</c:v>
                      </c:pt>
                      <c:pt idx="15">
                        <c:v>0.79554093066521092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B803-420B-A8F3-11F7C11347FC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INRIM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4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Data!$AX$13:$AX$48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9.7141802854239609E-2</c:v>
                      </c:pt>
                      <c:pt idx="3">
                        <c:v>0.30724484795214563</c:v>
                      </c:pt>
                      <c:pt idx="6">
                        <c:v>0.60123969640282426</c:v>
                      </c:pt>
                      <c:pt idx="9">
                        <c:v>1.0044766413317257</c:v>
                      </c:pt>
                      <c:pt idx="12">
                        <c:v>2.197276697598229</c:v>
                      </c:pt>
                      <c:pt idx="15">
                        <c:v>3.0064065923272718</c:v>
                      </c:pt>
                      <c:pt idx="18">
                        <c:v>6.0332629583368025</c:v>
                      </c:pt>
                      <c:pt idx="21">
                        <c:v>10.044724167130965</c:v>
                      </c:pt>
                      <c:pt idx="24">
                        <c:v>14.975031197971497</c:v>
                      </c:pt>
                      <c:pt idx="27">
                        <c:v>19.899342502863473</c:v>
                      </c:pt>
                      <c:pt idx="30">
                        <c:v>25.058410425917796</c:v>
                      </c:pt>
                      <c:pt idx="33">
                        <c:v>30.017613515365316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Data!$CQ$13:$CQ$48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0.2955240858403288</c:v>
                      </c:pt>
                      <c:pt idx="3">
                        <c:v>0.15180250425335401</c:v>
                      </c:pt>
                      <c:pt idx="6">
                        <c:v>0.7700482863479845</c:v>
                      </c:pt>
                      <c:pt idx="9">
                        <c:v>0.28127245556616298</c:v>
                      </c:pt>
                      <c:pt idx="12">
                        <c:v>1.195268855423522</c:v>
                      </c:pt>
                      <c:pt idx="15">
                        <c:v>0.47264374170750151</c:v>
                      </c:pt>
                      <c:pt idx="18">
                        <c:v>0.28050523035591396</c:v>
                      </c:pt>
                      <c:pt idx="21">
                        <c:v>0.74495037454596702</c:v>
                      </c:pt>
                      <c:pt idx="24">
                        <c:v>1.2732005076891255</c:v>
                      </c:pt>
                      <c:pt idx="27">
                        <c:v>1.3538359155868966</c:v>
                      </c:pt>
                      <c:pt idx="30">
                        <c:v>0.65323814441299455</c:v>
                      </c:pt>
                      <c:pt idx="33">
                        <c:v>0.61246345620165543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803-420B-A8F3-11F7C11347FC}"/>
                  </c:ext>
                </c:extLst>
              </c15:ser>
            </c15:filteredScatterSeries>
            <c15:filteredScatterSeries>
              <c15:ser>
                <c:idx val="7"/>
                <c:order val="2"/>
                <c:tx>
                  <c:v>NEL N2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Data!$BX$13:$BX$48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0.12468121525775096</c:v>
                      </c:pt>
                      <c:pt idx="3">
                        <c:v>0.28830389831032693</c:v>
                      </c:pt>
                      <c:pt idx="6">
                        <c:v>0.58202985678683083</c:v>
                      </c:pt>
                      <c:pt idx="9">
                        <c:v>0.91337841655386887</c:v>
                      </c:pt>
                      <c:pt idx="12">
                        <c:v>2.2084575724429616</c:v>
                      </c:pt>
                      <c:pt idx="15">
                        <c:v>2.9897403406273693</c:v>
                      </c:pt>
                      <c:pt idx="18">
                        <c:v>6.1096384365746088</c:v>
                      </c:pt>
                      <c:pt idx="21">
                        <c:v>10.008493192019385</c:v>
                      </c:pt>
                      <c:pt idx="24">
                        <c:v>15.033362722610841</c:v>
                      </c:pt>
                      <c:pt idx="27">
                        <c:v>20.024606934273873</c:v>
                      </c:pt>
                      <c:pt idx="30">
                        <c:v>24.505569933852669</c:v>
                      </c:pt>
                      <c:pt idx="33">
                        <c:v>29.012929695783146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Data!$CT$13:$CT$48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0.44786898685370086</c:v>
                      </c:pt>
                      <c:pt idx="3">
                        <c:v>0.64068245330842932</c:v>
                      </c:pt>
                      <c:pt idx="6">
                        <c:v>0.89955319876036</c:v>
                      </c:pt>
                      <c:pt idx="9">
                        <c:v>6.795669141114484E-2</c:v>
                      </c:pt>
                      <c:pt idx="12">
                        <c:v>2.9607973501760941E-2</c:v>
                      </c:pt>
                      <c:pt idx="15">
                        <c:v>0.58867540519041484</c:v>
                      </c:pt>
                      <c:pt idx="18">
                        <c:v>0.28050523035591385</c:v>
                      </c:pt>
                      <c:pt idx="21">
                        <c:v>0.74495037454596713</c:v>
                      </c:pt>
                      <c:pt idx="24">
                        <c:v>1.2732005076891248</c:v>
                      </c:pt>
                      <c:pt idx="27">
                        <c:v>1.3538359155868962</c:v>
                      </c:pt>
                      <c:pt idx="30">
                        <c:v>0.65323814441299455</c:v>
                      </c:pt>
                      <c:pt idx="33">
                        <c:v>0.61246345620165532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803-420B-A8F3-11F7C11347FC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INRIM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chemeClr val="accent4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Data!$AX$61:$AX$96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9.7932527542691702E-2</c:v>
                      </c:pt>
                      <c:pt idx="3">
                        <c:v>0.3066275806128117</c:v>
                      </c:pt>
                      <c:pt idx="6">
                        <c:v>0.59946034688035343</c:v>
                      </c:pt>
                      <c:pt idx="9">
                        <c:v>1.0074401694946016</c:v>
                      </c:pt>
                      <c:pt idx="12">
                        <c:v>2.194274045947795</c:v>
                      </c:pt>
                      <c:pt idx="15">
                        <c:v>3.0120259024001954</c:v>
                      </c:pt>
                      <c:pt idx="18">
                        <c:v>6.0402363323624355</c:v>
                      </c:pt>
                      <c:pt idx="21">
                        <c:v>10.031887098400588</c:v>
                      </c:pt>
                      <c:pt idx="24">
                        <c:v>14.974062579674886</c:v>
                      </c:pt>
                      <c:pt idx="27">
                        <c:v>19.905323579731444</c:v>
                      </c:pt>
                      <c:pt idx="30">
                        <c:v>25.059225399331041</c:v>
                      </c:pt>
                      <c:pt idx="33">
                        <c:v>30.019009783255786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Data!$CQ$61:$CQ$96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0">
                        <c:v>3.0287574044633406E-2</c:v>
                      </c:pt>
                      <c:pt idx="3">
                        <c:v>1.3579062466750662</c:v>
                      </c:pt>
                      <c:pt idx="6">
                        <c:v>0.52661366774400009</c:v>
                      </c:pt>
                      <c:pt idx="9">
                        <c:v>1.4171061972936476</c:v>
                      </c:pt>
                      <c:pt idx="12">
                        <c:v>1.4629867106549623</c:v>
                      </c:pt>
                      <c:pt idx="15">
                        <c:v>1.1309992738699965</c:v>
                      </c:pt>
                      <c:pt idx="18">
                        <c:v>1.0486591342467091</c:v>
                      </c:pt>
                      <c:pt idx="21">
                        <c:v>9.0185674351450265E-2</c:v>
                      </c:pt>
                      <c:pt idx="24">
                        <c:v>1.2220153423518863E-2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803-420B-A8F3-11F7C11347FC}"/>
                  </c:ext>
                </c:extLst>
              </c15:ser>
            </c15:filteredScatterSeries>
            <c15:filteredScatterSeries>
              <c15:ser>
                <c:idx val="6"/>
                <c:order val="5"/>
                <c:tx>
                  <c:v>NEL CO2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8"/>
                  <c:spPr>
                    <a:solidFill>
                      <a:schemeClr val="accent3"/>
                    </a:solidFill>
                    <a:ln w="952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Data!$BX$61:$BX$96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6">
                        <c:v>0.61449061266230498</c:v>
                      </c:pt>
                      <c:pt idx="9">
                        <c:v>1.0554256642960025</c:v>
                      </c:pt>
                      <c:pt idx="12">
                        <c:v>2.1886181344655875</c:v>
                      </c:pt>
                      <c:pt idx="15">
                        <c:v>3.0395350710572937</c:v>
                      </c:pt>
                      <c:pt idx="18">
                        <c:v>5.9965354335389724</c:v>
                      </c:pt>
                      <c:pt idx="21">
                        <c:v>10.197696034378197</c:v>
                      </c:pt>
                      <c:pt idx="24">
                        <c:v>15.336907652910918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Data!$CT$61:$CT$96</c15:sqref>
                        </c15:formulaRef>
                      </c:ext>
                    </c:extLst>
                    <c:numCache>
                      <c:formatCode>0.00</c:formatCode>
                      <c:ptCount val="36"/>
                      <c:pt idx="6">
                        <c:v>2.0497241564332285</c:v>
                      </c:pt>
                      <c:pt idx="9">
                        <c:v>1.8115176942460898</c:v>
                      </c:pt>
                      <c:pt idx="12">
                        <c:v>1.6657778148146389</c:v>
                      </c:pt>
                      <c:pt idx="15">
                        <c:v>1.130999273869997</c:v>
                      </c:pt>
                      <c:pt idx="18">
                        <c:v>1.0486591342467093</c:v>
                      </c:pt>
                      <c:pt idx="21">
                        <c:v>9.0185674351450376E-2</c:v>
                      </c:pt>
                      <c:pt idx="24">
                        <c:v>1.222015342351873E-2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803-420B-A8F3-11F7C11347FC}"/>
                  </c:ext>
                </c:extLst>
              </c15:ser>
            </c15:filteredScatterSeries>
            <c15:filteredScatterSeries>
              <c15:ser>
                <c:idx val="2"/>
                <c:order val="6"/>
                <c:tx>
                  <c:v>KCRV 10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quare"/>
                  <c:size val="10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Data!$CG$27:$CG$39</c15:sqref>
                        </c15:formulaRef>
                      </c:ext>
                    </c:extLst>
                    <c:numCache>
                      <c:formatCode>0.00</c:formatCode>
                      <c:ptCount val="13"/>
                      <c:pt idx="1">
                        <c:v>2.9741706593961705</c:v>
                      </c:pt>
                      <c:pt idx="4">
                        <c:v>6.0714506974557061</c:v>
                      </c:pt>
                      <c:pt idx="7">
                        <c:v>10.026608679575176</c:v>
                      </c:pt>
                      <c:pt idx="10">
                        <c:v>15.004196960291168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Data!$CH$27:$CH$39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1">
                        <c:v>0.29244887112641815</c:v>
                      </c:pt>
                      <c:pt idx="4">
                        <c:v>0.10186005664859225</c:v>
                      </c:pt>
                      <c:pt idx="7">
                        <c:v>0.12943966321364025</c:v>
                      </c:pt>
                      <c:pt idx="10">
                        <c:v>0.11706131183155484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803-420B-A8F3-11F7C11347FC}"/>
                  </c:ext>
                </c:extLst>
              </c15:ser>
            </c15:filteredScatterSeries>
            <c15:filteredScatterSeries>
              <c15:ser>
                <c:idx val="5"/>
                <c:order val="7"/>
                <c:tx>
                  <c:v>KRVC 30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9"/>
                  <c:spPr>
                    <a:noFill/>
                    <a:ln w="19050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Data!$CG$71:$CG$78</c15:sqref>
                        </c15:formulaRef>
                      </c:ext>
                    </c:extLst>
                    <c:numCache>
                      <c:formatCode>0.00</c:formatCode>
                      <c:ptCount val="8"/>
                      <c:pt idx="2">
                        <c:v>2.2049379066662147</c:v>
                      </c:pt>
                      <c:pt idx="5">
                        <c:v>3.0257804867287446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Data!$CH$71:$CH$78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2">
                        <c:v>0.2858611745617875</c:v>
                      </c:pt>
                      <c:pt idx="5">
                        <c:v>0.1661012743086176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803-420B-A8F3-11F7C11347FC}"/>
                  </c:ext>
                </c:extLst>
              </c15:ser>
            </c15:filteredScatterSeries>
            <c15:filteredScatterSeries>
              <c15:ser>
                <c:idx val="10"/>
                <c:order val="8"/>
                <c:tx>
                  <c:v>KRVC 50 bar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9"/>
                  <c:spPr>
                    <a:noFill/>
                    <a:ln w="15875">
                      <a:solidFill>
                        <a:schemeClr val="tx1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Data!#REF!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803-420B-A8F3-11F7C11347FC}"/>
                  </c:ext>
                </c:extLst>
              </c15:ser>
            </c15:filteredScatterSeries>
          </c:ext>
        </c:extLst>
      </c:scatterChart>
      <c:valAx>
        <c:axId val="91010094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800"/>
                  <a:t>Reference volume flow (m</a:t>
                </a:r>
                <a:r>
                  <a:rPr lang="en-GB" sz="1800" baseline="30000"/>
                  <a:t>3</a:t>
                </a:r>
                <a:r>
                  <a:rPr lang="en-GB" sz="1800"/>
                  <a:t>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2349760"/>
        <c:crossesAt val="-0.60000000000000009"/>
        <c:crossBetween val="midCat"/>
      </c:valAx>
      <c:valAx>
        <c:axId val="98234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br>
                  <a:rPr lang="en-GB" sz="1800"/>
                </a:br>
                <a:r>
                  <a:rPr lang="en-GB" sz="1800"/>
                  <a:t>|En|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100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41A2212-2D44-4D7F-969D-4B4A2F232C21}">
  <sheetPr/>
  <sheetViews>
    <sheetView zoomScale="82"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45A2B0C-6727-46FE-BF4F-65C0C255EBBB}">
  <sheetPr/>
  <sheetViews>
    <sheetView zoomScale="82" workbookViewId="0" zoomToFit="1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31B9DA-C9D9-4FDD-84E0-3E8FFF83C852}">
  <sheetPr/>
  <sheetViews>
    <sheetView tabSelected="1" zoomScale="8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CEEB94A-27E0-4CDB-B07B-5D38CAC71827}">
  <sheetPr/>
  <sheetViews>
    <sheetView zoomScale="82" workbookViewId="0" zoomToFit="1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F444578-D9B0-49AD-9F23-B363842A4175}">
  <sheetPr/>
  <sheetViews>
    <sheetView zoomScale="82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8389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789816-800C-4222-24ED-DD116E1047F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8389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BE553F-5333-8BA4-28AD-D8E1892E782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BAEBBE8-16A4-94C5-868E-9240F6B62CD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1488" cy="627256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E5639A-E80D-6536-1A1F-F2A533C4E99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1488" cy="627256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7B37C9-2454-E2E2-2D0E-1EF58EFB4D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</xdr:row>
      <xdr:rowOff>0</xdr:rowOff>
    </xdr:from>
    <xdr:ext cx="7942857" cy="8638095"/>
    <xdr:pic>
      <xdr:nvPicPr>
        <xdr:cNvPr id="2" name="Picture 1">
          <a:extLst>
            <a:ext uri="{FF2B5EF4-FFF2-40B4-BE49-F238E27FC236}">
              <a16:creationId xmlns:a16="http://schemas.microsoft.com/office/drawing/2014/main" id="{1272C1DA-3FA2-4204-A6CD-511837F1E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71500"/>
          <a:ext cx="7942857" cy="863809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%20(x86)\REFPROP\REFPROP.XLA" TargetMode="External"/><Relationship Id="rId1" Type="http://schemas.openxmlformats.org/officeDocument/2006/relationships/externalLinkPath" Target="file:///C:\Program%20Files%20(x86)\REFPROP\REFPROP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Density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6CF18-2CD5-467F-808D-5A4B35ABD5C7}">
  <dimension ref="B1:CX96"/>
  <sheetViews>
    <sheetView topLeftCell="AO48" zoomScale="85" zoomScaleNormal="85" workbookViewId="0">
      <selection activeCell="AS9" sqref="AS9"/>
    </sheetView>
  </sheetViews>
  <sheetFormatPr defaultRowHeight="14.4" x14ac:dyDescent="0.3"/>
  <cols>
    <col min="2" max="2" width="18.88671875" bestFit="1" customWidth="1"/>
    <col min="3" max="3" width="15.44140625" bestFit="1" customWidth="1"/>
    <col min="4" max="4" width="20.6640625" hidden="1" customWidth="1"/>
    <col min="5" max="5" width="9.33203125" hidden="1" customWidth="1"/>
    <col min="6" max="7" width="10.109375" customWidth="1"/>
    <col min="8" max="8" width="18.44140625" customWidth="1"/>
    <col min="9" max="9" width="11.44140625" bestFit="1" customWidth="1"/>
    <col min="10" max="10" width="13.33203125" customWidth="1"/>
    <col min="11" max="11" width="11.6640625" hidden="1" customWidth="1"/>
    <col min="12" max="12" width="11.6640625" customWidth="1"/>
    <col min="13" max="13" width="9.109375" customWidth="1"/>
    <col min="14" max="14" width="9.6640625" bestFit="1" customWidth="1"/>
    <col min="15" max="15" width="11.5546875" bestFit="1" customWidth="1"/>
    <col min="16" max="16" width="11.77734375" customWidth="1"/>
    <col min="17" max="17" width="11.6640625" customWidth="1"/>
    <col min="18" max="19" width="9.109375" customWidth="1"/>
    <col min="20" max="20" width="13" bestFit="1" customWidth="1"/>
    <col min="21" max="21" width="12.33203125" bestFit="1" customWidth="1"/>
    <col min="22" max="23" width="9.109375" customWidth="1"/>
    <col min="24" max="24" width="13.33203125" customWidth="1"/>
    <col min="25" max="29" width="9.109375" customWidth="1"/>
    <col min="30" max="30" width="18.5546875" hidden="1" customWidth="1"/>
    <col min="31" max="31" width="9.88671875" hidden="1" customWidth="1"/>
    <col min="32" max="32" width="13.109375" bestFit="1" customWidth="1"/>
    <col min="33" max="33" width="18.6640625" customWidth="1"/>
    <col min="34" max="34" width="12" customWidth="1"/>
    <col min="35" max="35" width="9.33203125" bestFit="1" customWidth="1"/>
    <col min="36" max="36" width="12.88671875" customWidth="1"/>
    <col min="37" max="37" width="9.109375" customWidth="1"/>
    <col min="38" max="38" width="14.88671875" customWidth="1"/>
    <col min="39" max="40" width="9.33203125" bestFit="1" customWidth="1"/>
    <col min="41" max="42" width="9.33203125" customWidth="1"/>
    <col min="43" max="45" width="9.33203125" bestFit="1" customWidth="1"/>
    <col min="46" max="46" width="10.6640625" bestFit="1" customWidth="1"/>
    <col min="49" max="49" width="9.33203125" bestFit="1" customWidth="1"/>
    <col min="50" max="52" width="11.6640625" customWidth="1"/>
    <col min="53" max="53" width="20.44140625" bestFit="1" customWidth="1"/>
    <col min="54" max="54" width="20.44140625" customWidth="1"/>
    <col min="55" max="57" width="11.6640625" customWidth="1"/>
    <col min="58" max="58" width="15.5546875" bestFit="1" customWidth="1"/>
    <col min="59" max="59" width="15" bestFit="1" customWidth="1"/>
    <col min="60" max="61" width="11.88671875" bestFit="1" customWidth="1"/>
    <col min="62" max="62" width="11.88671875" customWidth="1"/>
    <col min="63" max="63" width="14" bestFit="1" customWidth="1"/>
    <col min="64" max="64" width="11.6640625" bestFit="1" customWidth="1"/>
    <col min="65" max="65" width="11.109375" bestFit="1" customWidth="1"/>
    <col min="66" max="70" width="9.33203125" bestFit="1" customWidth="1"/>
    <col min="71" max="71" width="12.44140625" customWidth="1"/>
    <col min="73" max="73" width="12.109375" bestFit="1" customWidth="1"/>
    <col min="78" max="78" width="17.88671875" customWidth="1"/>
    <col min="79" max="79" width="16" customWidth="1"/>
    <col min="80" max="83" width="15" bestFit="1" customWidth="1"/>
    <col min="85" max="85" width="16.88671875" customWidth="1"/>
    <col min="86" max="86" width="9.33203125" bestFit="1" customWidth="1"/>
    <col min="87" max="87" width="14.44140625" customWidth="1"/>
    <col min="88" max="89" width="14.6640625" customWidth="1"/>
    <col min="90" max="90" width="10.33203125" bestFit="1" customWidth="1"/>
    <col min="91" max="91" width="9.33203125" bestFit="1" customWidth="1"/>
    <col min="92" max="92" width="10.6640625" bestFit="1" customWidth="1"/>
    <col min="93" max="93" width="14.6640625" bestFit="1" customWidth="1"/>
    <col min="94" max="94" width="9.33203125" bestFit="1" customWidth="1"/>
    <col min="95" max="95" width="12.44140625" customWidth="1"/>
    <col min="96" max="96" width="14.109375" bestFit="1" customWidth="1"/>
    <col min="97" max="97" width="9.33203125" bestFit="1" customWidth="1"/>
    <col min="98" max="98" width="14.88671875" customWidth="1"/>
    <col min="100" max="100" width="23.44140625" bestFit="1" customWidth="1"/>
    <col min="101" max="102" width="10" bestFit="1" customWidth="1"/>
  </cols>
  <sheetData>
    <row r="1" spans="2:102" ht="18" x14ac:dyDescent="0.35">
      <c r="CV1" s="37"/>
      <c r="CW1" s="37" t="s">
        <v>26</v>
      </c>
      <c r="CX1" s="37" t="s">
        <v>27</v>
      </c>
    </row>
    <row r="2" spans="2:102" ht="15" customHeight="1" x14ac:dyDescent="0.35">
      <c r="C2" s="93" t="s">
        <v>37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23"/>
      <c r="Z2" s="23"/>
      <c r="AA2" s="23"/>
      <c r="AB2" s="23"/>
      <c r="AC2" s="95" t="s">
        <v>47</v>
      </c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24"/>
      <c r="AX2" s="24"/>
      <c r="AY2" s="24"/>
      <c r="AZ2" s="107" t="s">
        <v>29</v>
      </c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CV2" s="37" t="s">
        <v>121</v>
      </c>
      <c r="CW2" s="37">
        <f>COUNTA(CN13:CN77,CQ13:CQ77,CT13:CT77,CN91:CN110,CN116:CN155,CQ91:CQ110,CQ116:CQ155,CT91:CT110,CT116:CT155,CN170:CN194,CN200:CN234,CQ170:CQ194,CQ200:CQ234,CT170:CT194,CT200:CT234)</f>
        <v>51</v>
      </c>
      <c r="CX2" s="37"/>
    </row>
    <row r="3" spans="2:102" ht="15" customHeight="1" x14ac:dyDescent="0.35"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23"/>
      <c r="Z3" s="23"/>
      <c r="AA3" s="23"/>
      <c r="AB3" s="23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24"/>
      <c r="AX3" s="24"/>
      <c r="AY3" s="24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CV3" s="37" t="s">
        <v>24</v>
      </c>
      <c r="CW3" s="38">
        <f>COUNTIF(CN13:CN77, "&gt;"&amp;1)+COUNTIF(CN91:CN110, "&gt;"&amp;1)+COUNTIF(CN116:CN155, "&gt;"&amp;1)+COUNTIF(CN170:CN194, "&gt;"&amp;1)+COUNTIF(CN200:CN234, "&gt;"&amp;1)+COUNTIF(CQ13:CQ77, "&gt;"&amp;1)+COUNTIF(CQ91:CQ110, "&gt;"&amp;1)+COUNTIF(CQ116:CQ155, "&gt;"&amp;1)+COUNTIF(CQ170:CQ194, "&gt;"&amp;1)+COUNTIF(CQ200:CQ234, "&gt;"&amp;1)+COUNTIF(CT13:CT77, "&gt;"&amp;1)+COUNTIF(CT91:CT110, "&gt;"&amp;1)+COUNTIF(CT116:CT155, "&gt;"&amp;1)+COUNTIF(CT170:CT194, "&gt;"&amp;1)+COUNTIF(CT200:CT234, "&gt;"&amp;1)</f>
        <v>16</v>
      </c>
      <c r="CX3" s="39">
        <f>CW3/CW2*100</f>
        <v>31.372549019607842</v>
      </c>
    </row>
    <row r="4" spans="2:102" ht="18" x14ac:dyDescent="0.35">
      <c r="V4" s="7"/>
      <c r="W4" s="7"/>
      <c r="X4" s="7"/>
      <c r="Y4" s="7"/>
      <c r="Z4" s="7"/>
      <c r="AA4" s="7"/>
      <c r="AB4" s="7"/>
      <c r="AC4" s="7"/>
      <c r="CV4" s="37" t="s">
        <v>23</v>
      </c>
      <c r="CW4" s="38">
        <f>COUNTIF(CN13:CN77, "&gt;"&amp;1.2)+COUNTIF(CN91:CN110, "&gt;"&amp;1.2)+COUNTIF(CN116:CN155, "&gt;"&amp;1.2)+COUNTIF(CN170:CN194, "&gt;"&amp;1.2)+COUNTIF(CN200:CN234, "&gt;"&amp;1.2)+COUNTIF(CQ13:CQ77, "&gt;"&amp;1.2)+COUNTIF(CQ91:CQ110, "&gt;"&amp;1.2)+COUNTIF(CQ116:CQ155, "&gt;"&amp;1.2)+COUNTIF(CQ170:CQ194, "&gt;"&amp;1.2)+COUNTIF(CQ200:CQ234, "&gt;"&amp;1.2)+COUNTIF(CT13:CT77, "&gt;"&amp;1.2)+COUNTIF(CT91:CT110, "&gt;"&amp;1.2)+COUNTIF(CT116:CT155, "&gt;"&amp;1.2)+COUNTIF(CT170:CT194, "&gt;"&amp;1.2)+COUNTIF(CT200:CT234, "&gt;"&amp;1.2)</f>
        <v>13</v>
      </c>
      <c r="CX4" s="39">
        <f>CW4/CW2*100</f>
        <v>25.490196078431371</v>
      </c>
    </row>
    <row r="5" spans="2:102" ht="18" x14ac:dyDescent="0.35">
      <c r="V5" s="7"/>
      <c r="W5" s="7"/>
      <c r="X5" s="7"/>
      <c r="Y5" s="7"/>
      <c r="Z5" s="7"/>
      <c r="AA5" s="7"/>
      <c r="AB5" s="7"/>
      <c r="AC5" s="106" t="s">
        <v>48</v>
      </c>
      <c r="AD5" s="106"/>
      <c r="AE5" s="106"/>
      <c r="AF5" s="106"/>
      <c r="AG5" s="106"/>
      <c r="AH5" s="106"/>
      <c r="CV5" s="37" t="s">
        <v>25</v>
      </c>
      <c r="CW5" s="38">
        <f>CW3-CW4</f>
        <v>3</v>
      </c>
      <c r="CX5" s="39">
        <f>CW5/CW2*100</f>
        <v>5.8823529411764701</v>
      </c>
    </row>
    <row r="6" spans="2:102" ht="18" x14ac:dyDescent="0.35">
      <c r="V6" s="7"/>
      <c r="W6" s="7"/>
      <c r="X6" s="7"/>
      <c r="Y6" s="7"/>
      <c r="Z6" s="7"/>
      <c r="AA6" s="7"/>
      <c r="AB6" s="7"/>
      <c r="AC6" s="106"/>
      <c r="AD6" s="106"/>
      <c r="AE6" s="106"/>
      <c r="AF6" s="106"/>
      <c r="AG6" s="106"/>
      <c r="AH6" s="106"/>
      <c r="CV6" s="37" t="s">
        <v>28</v>
      </c>
      <c r="CW6" s="38">
        <f>CW2-CW3</f>
        <v>35</v>
      </c>
      <c r="CX6" s="40">
        <f>CW6/CW2*100</f>
        <v>68.627450980392155</v>
      </c>
    </row>
    <row r="7" spans="2:102" x14ac:dyDescent="0.3">
      <c r="V7" s="7"/>
      <c r="W7" s="7"/>
      <c r="X7" s="7"/>
      <c r="Y7" s="7"/>
      <c r="Z7" s="7"/>
      <c r="AA7" s="7"/>
      <c r="AB7" s="7"/>
      <c r="AC7" s="106"/>
      <c r="AD7" s="106"/>
      <c r="AE7" s="106"/>
      <c r="AF7" s="106"/>
      <c r="AG7" s="106"/>
      <c r="AH7" s="106"/>
    </row>
    <row r="8" spans="2:102" x14ac:dyDescent="0.3">
      <c r="V8" s="7"/>
      <c r="W8" s="7"/>
      <c r="X8" s="7"/>
      <c r="Y8" s="7"/>
      <c r="Z8" s="7"/>
      <c r="AA8" s="7"/>
      <c r="AB8" s="7"/>
      <c r="AC8" s="106"/>
      <c r="AD8" s="106"/>
      <c r="AE8" s="106"/>
      <c r="AF8" s="106"/>
      <c r="AG8" s="106"/>
      <c r="AH8" s="106"/>
    </row>
    <row r="9" spans="2:102" x14ac:dyDescent="0.3">
      <c r="V9" s="7"/>
      <c r="W9" s="7">
        <f>AVERAGE(W13:W48,W61:W96)</f>
        <v>0.21466905490113064</v>
      </c>
      <c r="X9" s="7"/>
      <c r="Y9" s="7"/>
      <c r="Z9" s="7"/>
      <c r="AA9" s="7"/>
      <c r="AB9" s="7"/>
      <c r="AC9" s="106"/>
      <c r="AD9" s="106"/>
      <c r="AE9" s="106"/>
      <c r="AF9" s="106"/>
      <c r="AG9" s="106"/>
      <c r="AH9" s="106"/>
      <c r="AI9" s="7"/>
      <c r="AJ9" s="7"/>
      <c r="AK9" s="7"/>
      <c r="AL9" s="7"/>
      <c r="AM9" s="7"/>
      <c r="AN9" s="7"/>
      <c r="AO9" s="7"/>
      <c r="AP9" s="7"/>
      <c r="AQ9" s="7"/>
      <c r="AR9" s="7"/>
      <c r="AS9" s="7">
        <f>AVERAGE(AT13:AT48,AT61:AT96)</f>
        <v>0.60015953545781009</v>
      </c>
      <c r="AT9" s="7"/>
      <c r="AU9" s="7"/>
      <c r="AV9" s="7"/>
      <c r="AW9" s="7"/>
      <c r="AX9" s="7"/>
      <c r="AY9" s="7"/>
      <c r="BS9" s="7"/>
      <c r="BT9" s="7">
        <f>AVERAGE(BT13:BT47,BT61:BT96)</f>
        <v>0.49178447993103436</v>
      </c>
      <c r="BU9" s="7"/>
      <c r="BV9" s="7"/>
      <c r="BW9" s="7"/>
      <c r="BX9" s="7"/>
      <c r="BY9" s="7"/>
    </row>
    <row r="10" spans="2:102" ht="21" x14ac:dyDescent="0.4">
      <c r="C10" s="1" t="s">
        <v>36</v>
      </c>
      <c r="E10" s="3"/>
      <c r="F10" s="3"/>
      <c r="G10" s="3"/>
      <c r="H10" s="1"/>
      <c r="I10" s="3"/>
      <c r="J10" s="3"/>
      <c r="K10" s="3"/>
      <c r="L10" s="3"/>
      <c r="M10" s="2"/>
      <c r="N10" s="2"/>
      <c r="O10" s="3"/>
      <c r="P10" s="3"/>
      <c r="Q10" s="3"/>
      <c r="AC10" s="1" t="s">
        <v>36</v>
      </c>
      <c r="AD10" s="1"/>
      <c r="AZ10" s="1" t="s">
        <v>36</v>
      </c>
      <c r="BC10" s="3"/>
      <c r="BD10" s="3"/>
      <c r="BE10" s="3"/>
      <c r="BF10" s="1"/>
      <c r="BG10" s="3"/>
      <c r="BH10" s="3"/>
      <c r="BI10" s="3"/>
      <c r="BJ10" s="3"/>
      <c r="BK10" s="2"/>
      <c r="BL10" s="3"/>
      <c r="BM10" s="3"/>
      <c r="BN10" s="3"/>
      <c r="BZ10" s="102" t="s">
        <v>37</v>
      </c>
      <c r="CA10" s="102"/>
      <c r="CB10" s="103" t="s">
        <v>47</v>
      </c>
      <c r="CC10" s="103"/>
      <c r="CD10" s="96" t="s">
        <v>29</v>
      </c>
      <c r="CE10" s="96"/>
      <c r="CL10" s="102" t="s">
        <v>37</v>
      </c>
      <c r="CM10" s="102"/>
      <c r="CN10" s="102"/>
      <c r="CO10" s="103" t="s">
        <v>47</v>
      </c>
      <c r="CP10" s="103"/>
      <c r="CQ10" s="103"/>
      <c r="CR10" s="96" t="s">
        <v>29</v>
      </c>
      <c r="CS10" s="96"/>
      <c r="CT10" s="96"/>
    </row>
    <row r="11" spans="2:102" ht="46.8" x14ac:dyDescent="0.3">
      <c r="B11" t="s">
        <v>126</v>
      </c>
      <c r="C11" s="14" t="s">
        <v>33</v>
      </c>
      <c r="D11" s="14" t="s">
        <v>0</v>
      </c>
      <c r="E11" s="8" t="s">
        <v>1</v>
      </c>
      <c r="F11" s="8" t="s">
        <v>122</v>
      </c>
      <c r="G11" s="8" t="s">
        <v>123</v>
      </c>
      <c r="H11" s="15" t="s">
        <v>127</v>
      </c>
      <c r="I11" s="15" t="s">
        <v>2</v>
      </c>
      <c r="J11" s="15" t="s">
        <v>3</v>
      </c>
      <c r="K11" s="15" t="s">
        <v>4</v>
      </c>
      <c r="L11" s="15" t="s">
        <v>4</v>
      </c>
      <c r="M11" s="15" t="s">
        <v>41</v>
      </c>
      <c r="N11" s="15" t="s">
        <v>125</v>
      </c>
      <c r="O11" s="15" t="s">
        <v>5</v>
      </c>
      <c r="P11" s="4" t="s">
        <v>6</v>
      </c>
      <c r="Q11" s="30" t="s">
        <v>18</v>
      </c>
      <c r="R11" s="30" t="s">
        <v>19</v>
      </c>
      <c r="S11" s="30" t="s">
        <v>31</v>
      </c>
      <c r="T11" s="30" t="s">
        <v>32</v>
      </c>
      <c r="U11" s="30" t="s">
        <v>20</v>
      </c>
      <c r="V11" s="30" t="s">
        <v>21</v>
      </c>
      <c r="W11" s="30" t="s">
        <v>22</v>
      </c>
      <c r="X11" s="30" t="s">
        <v>46</v>
      </c>
      <c r="Z11" s="30" t="s">
        <v>45</v>
      </c>
      <c r="AA11" s="30" t="s">
        <v>46</v>
      </c>
      <c r="AC11" s="14" t="s">
        <v>33</v>
      </c>
      <c r="AD11" s="14" t="s">
        <v>0</v>
      </c>
      <c r="AE11" s="8" t="s">
        <v>1</v>
      </c>
      <c r="AF11" s="8" t="s">
        <v>43</v>
      </c>
      <c r="AG11" s="15" t="s">
        <v>39</v>
      </c>
      <c r="AH11" s="15" t="s">
        <v>2</v>
      </c>
      <c r="AI11" s="15" t="s">
        <v>3</v>
      </c>
      <c r="AJ11" s="15" t="s">
        <v>4</v>
      </c>
      <c r="AK11" s="15" t="s">
        <v>41</v>
      </c>
      <c r="AL11" s="15" t="s">
        <v>5</v>
      </c>
      <c r="AM11" s="4" t="s">
        <v>6</v>
      </c>
      <c r="AN11" s="30" t="s">
        <v>18</v>
      </c>
      <c r="AO11" s="30" t="s">
        <v>19</v>
      </c>
      <c r="AP11" s="30" t="s">
        <v>31</v>
      </c>
      <c r="AQ11" s="30" t="s">
        <v>32</v>
      </c>
      <c r="AR11" s="30" t="s">
        <v>20</v>
      </c>
      <c r="AS11" s="30" t="s">
        <v>21</v>
      </c>
      <c r="AT11" s="30" t="s">
        <v>22</v>
      </c>
      <c r="AU11" s="30" t="s">
        <v>46</v>
      </c>
      <c r="AW11" s="30" t="s">
        <v>45</v>
      </c>
      <c r="AX11" s="30" t="s">
        <v>46</v>
      </c>
      <c r="AY11" s="65"/>
      <c r="AZ11" s="14" t="s">
        <v>33</v>
      </c>
      <c r="BA11" s="14" t="s">
        <v>0</v>
      </c>
      <c r="BB11" s="14" t="s">
        <v>55</v>
      </c>
      <c r="BC11" s="8" t="s">
        <v>1</v>
      </c>
      <c r="BD11" s="8" t="s">
        <v>43</v>
      </c>
      <c r="BE11" s="15" t="s">
        <v>39</v>
      </c>
      <c r="BF11" s="15" t="s">
        <v>39</v>
      </c>
      <c r="BG11" s="15" t="s">
        <v>2</v>
      </c>
      <c r="BH11" s="15" t="s">
        <v>3</v>
      </c>
      <c r="BI11" s="15" t="s">
        <v>4</v>
      </c>
      <c r="BJ11" s="15" t="s">
        <v>41</v>
      </c>
      <c r="BK11" s="15" t="s">
        <v>41</v>
      </c>
      <c r="BL11" s="15" t="s">
        <v>5</v>
      </c>
      <c r="BM11" s="4" t="s">
        <v>6</v>
      </c>
      <c r="BN11" s="30" t="s">
        <v>18</v>
      </c>
      <c r="BO11" s="30" t="s">
        <v>19</v>
      </c>
      <c r="BP11" s="30" t="s">
        <v>31</v>
      </c>
      <c r="BQ11" s="30" t="s">
        <v>32</v>
      </c>
      <c r="BR11" s="30" t="s">
        <v>20</v>
      </c>
      <c r="BS11" s="30" t="s">
        <v>21</v>
      </c>
      <c r="BT11" s="30" t="s">
        <v>22</v>
      </c>
      <c r="BU11" s="30" t="s">
        <v>46</v>
      </c>
      <c r="BW11" s="30" t="s">
        <v>45</v>
      </c>
      <c r="BX11" s="30" t="s">
        <v>46</v>
      </c>
      <c r="BY11" s="65"/>
      <c r="BZ11" s="26" t="s">
        <v>12</v>
      </c>
      <c r="CA11" s="26" t="s">
        <v>11</v>
      </c>
      <c r="CB11" s="26" t="s">
        <v>12</v>
      </c>
      <c r="CC11" s="26" t="s">
        <v>11</v>
      </c>
      <c r="CD11" s="26" t="s">
        <v>12</v>
      </c>
      <c r="CE11" s="26" t="s">
        <v>11</v>
      </c>
      <c r="CG11" s="26" t="s">
        <v>51</v>
      </c>
      <c r="CH11" s="26" t="s">
        <v>13</v>
      </c>
      <c r="CI11" s="26" t="s">
        <v>14</v>
      </c>
      <c r="CJ11" s="26" t="s">
        <v>30</v>
      </c>
      <c r="CK11" s="27"/>
      <c r="CL11" s="26" t="s">
        <v>15</v>
      </c>
      <c r="CM11" s="26" t="s">
        <v>17</v>
      </c>
      <c r="CN11" s="26" t="s">
        <v>16</v>
      </c>
      <c r="CO11" s="26" t="s">
        <v>15</v>
      </c>
      <c r="CP11" s="26" t="s">
        <v>17</v>
      </c>
      <c r="CQ11" s="26" t="s">
        <v>16</v>
      </c>
      <c r="CR11" s="26" t="s">
        <v>15</v>
      </c>
      <c r="CS11" s="26" t="s">
        <v>17</v>
      </c>
      <c r="CT11" s="26" t="s">
        <v>16</v>
      </c>
      <c r="CU11" s="27"/>
    </row>
    <row r="12" spans="2:102" x14ac:dyDescent="0.3">
      <c r="C12" s="47" t="s">
        <v>7</v>
      </c>
      <c r="D12" s="47" t="s">
        <v>7</v>
      </c>
      <c r="E12" s="52" t="s">
        <v>7</v>
      </c>
      <c r="F12" s="52" t="s">
        <v>44</v>
      </c>
      <c r="G12" s="52" t="s">
        <v>124</v>
      </c>
      <c r="H12" s="53" t="s">
        <v>35</v>
      </c>
      <c r="I12" s="53" t="s">
        <v>42</v>
      </c>
      <c r="J12" s="53" t="s">
        <v>8</v>
      </c>
      <c r="K12" s="53" t="s">
        <v>10</v>
      </c>
      <c r="L12" s="53" t="s">
        <v>128</v>
      </c>
      <c r="M12" s="53" t="s">
        <v>35</v>
      </c>
      <c r="N12" s="53" t="s">
        <v>44</v>
      </c>
      <c r="O12" s="53" t="s">
        <v>9</v>
      </c>
      <c r="P12" s="54" t="s">
        <v>9</v>
      </c>
      <c r="Q12" s="31" t="s">
        <v>9</v>
      </c>
      <c r="R12" s="32"/>
      <c r="S12" s="32"/>
      <c r="T12" s="32"/>
      <c r="U12" s="33" t="s">
        <v>9</v>
      </c>
      <c r="V12" s="20" t="s">
        <v>9</v>
      </c>
      <c r="W12" s="20" t="s">
        <v>9</v>
      </c>
      <c r="X12" s="20" t="s">
        <v>40</v>
      </c>
      <c r="Z12" s="20" t="s">
        <v>35</v>
      </c>
      <c r="AA12" s="20" t="s">
        <v>35</v>
      </c>
      <c r="AC12" s="47" t="s">
        <v>7</v>
      </c>
      <c r="AD12" s="47" t="s">
        <v>7</v>
      </c>
      <c r="AE12" s="52" t="s">
        <v>7</v>
      </c>
      <c r="AF12" s="52" t="s">
        <v>44</v>
      </c>
      <c r="AG12" s="53" t="s">
        <v>35</v>
      </c>
      <c r="AH12" s="53" t="s">
        <v>42</v>
      </c>
      <c r="AI12" s="53" t="s">
        <v>8</v>
      </c>
      <c r="AJ12" s="53" t="s">
        <v>10</v>
      </c>
      <c r="AK12" s="53" t="s">
        <v>35</v>
      </c>
      <c r="AL12" s="53" t="s">
        <v>9</v>
      </c>
      <c r="AM12" s="54" t="s">
        <v>9</v>
      </c>
      <c r="AN12" s="31" t="s">
        <v>9</v>
      </c>
      <c r="AO12" s="32"/>
      <c r="AP12" s="32"/>
      <c r="AQ12" s="32"/>
      <c r="AR12" s="33" t="s">
        <v>9</v>
      </c>
      <c r="AS12" s="20" t="s">
        <v>9</v>
      </c>
      <c r="AT12" s="20" t="s">
        <v>9</v>
      </c>
      <c r="AU12" s="20" t="s">
        <v>40</v>
      </c>
      <c r="AW12" s="20" t="s">
        <v>35</v>
      </c>
      <c r="AX12" s="20" t="s">
        <v>35</v>
      </c>
      <c r="AY12" s="35"/>
      <c r="AZ12" s="47" t="s">
        <v>7</v>
      </c>
      <c r="BA12" s="47" t="s">
        <v>7</v>
      </c>
      <c r="BB12" s="47" t="s">
        <v>7</v>
      </c>
      <c r="BC12" s="52" t="s">
        <v>7</v>
      </c>
      <c r="BD12" s="52" t="s">
        <v>44</v>
      </c>
      <c r="BE12" s="53" t="s">
        <v>35</v>
      </c>
      <c r="BF12" s="53" t="s">
        <v>40</v>
      </c>
      <c r="BG12" s="53" t="s">
        <v>42</v>
      </c>
      <c r="BH12" s="53" t="s">
        <v>8</v>
      </c>
      <c r="BI12" s="53" t="s">
        <v>10</v>
      </c>
      <c r="BJ12" s="53" t="s">
        <v>35</v>
      </c>
      <c r="BK12" s="53" t="s">
        <v>40</v>
      </c>
      <c r="BL12" s="53" t="s">
        <v>9</v>
      </c>
      <c r="BM12" s="54" t="s">
        <v>9</v>
      </c>
      <c r="BN12" s="31" t="s">
        <v>9</v>
      </c>
      <c r="BO12" s="32"/>
      <c r="BP12" s="32"/>
      <c r="BQ12" s="32"/>
      <c r="BR12" s="33" t="s">
        <v>9</v>
      </c>
      <c r="BS12" s="20" t="s">
        <v>9</v>
      </c>
      <c r="BT12" s="20" t="s">
        <v>9</v>
      </c>
      <c r="BU12" s="20" t="s">
        <v>40</v>
      </c>
      <c r="BW12" s="20" t="s">
        <v>35</v>
      </c>
      <c r="BX12" s="20" t="s">
        <v>35</v>
      </c>
      <c r="BY12" s="35"/>
      <c r="BZ12" s="25"/>
      <c r="CA12" s="25"/>
      <c r="CB12" s="25"/>
      <c r="CC12" s="25"/>
      <c r="CD12" s="25"/>
      <c r="CE12" s="25"/>
      <c r="CG12" s="25" t="s">
        <v>35</v>
      </c>
      <c r="CH12" s="25" t="s">
        <v>9</v>
      </c>
      <c r="CI12" s="25"/>
      <c r="CJ12" s="25"/>
      <c r="CK12" s="28"/>
      <c r="CL12" s="25"/>
      <c r="CM12" s="25"/>
      <c r="CN12" s="25" t="s">
        <v>9</v>
      </c>
      <c r="CO12" s="25"/>
      <c r="CP12" s="25"/>
      <c r="CQ12" s="25" t="s">
        <v>9</v>
      </c>
      <c r="CR12" s="25"/>
      <c r="CS12" s="25"/>
      <c r="CT12" s="25" t="s">
        <v>9</v>
      </c>
      <c r="CU12" s="28"/>
    </row>
    <row r="13" spans="2:102" x14ac:dyDescent="0.3">
      <c r="B13" s="87">
        <v>45476.638865740744</v>
      </c>
      <c r="C13" s="12" t="s">
        <v>38</v>
      </c>
      <c r="D13" s="46"/>
      <c r="E13" s="10"/>
      <c r="F13" s="10">
        <v>73.478500000000011</v>
      </c>
      <c r="G13" s="10">
        <v>2064.1922557687303</v>
      </c>
      <c r="H13" s="51">
        <v>0.10099936125253693</v>
      </c>
      <c r="I13" s="64">
        <v>101424.40026683822</v>
      </c>
      <c r="J13" s="42">
        <v>20.33776703235803</v>
      </c>
      <c r="K13" s="51"/>
      <c r="L13" s="51">
        <v>1.1646276482431526</v>
      </c>
      <c r="M13" s="42">
        <v>0.10046306360523706</v>
      </c>
      <c r="N13" s="42">
        <v>73.561801096157069</v>
      </c>
      <c r="O13" s="43">
        <f>(M13-H13)/H13*100</f>
        <v>-0.53099112771507806</v>
      </c>
      <c r="P13" s="6">
        <v>0.2</v>
      </c>
      <c r="Q13" s="101">
        <f t="shared" ref="Q13" si="0">AVERAGE(O13:O15)</f>
        <v>-0.57254928570009456</v>
      </c>
      <c r="R13" s="94">
        <f t="shared" ref="R13" si="1">STDEV(O13:O15)</f>
        <v>4.5197750208040448E-2</v>
      </c>
      <c r="S13" s="94">
        <f t="shared" ref="S13" si="2">COUNT(P13:P15)</f>
        <v>3</v>
      </c>
      <c r="T13" s="97">
        <f t="shared" ref="T13" si="3">TINV(0.05,S13-1)</f>
        <v>4.3026527297494637</v>
      </c>
      <c r="U13" s="97">
        <f>R13*T13/SQRT(S13)</f>
        <v>0.11227743577806465</v>
      </c>
      <c r="V13" s="94">
        <f t="shared" ref="V13" si="4">AVERAGE(P13:P15)</f>
        <v>0.20000000000000004</v>
      </c>
      <c r="W13" s="94">
        <f t="shared" ref="W13" si="5">SQRT(U13^2+V13^2)</f>
        <v>0.22936046430214918</v>
      </c>
      <c r="X13" s="98">
        <f t="shared" ref="X13" si="6">AVERAGE(H13:H15)</f>
        <v>0.1010091883757528</v>
      </c>
      <c r="Z13" s="45">
        <f>H13</f>
        <v>0.10099936125253693</v>
      </c>
      <c r="AA13" s="98">
        <f t="shared" ref="AA13:AA28" si="7">AVERAGE(Z13:Z15)</f>
        <v>0.1010091883757528</v>
      </c>
      <c r="AC13" s="12" t="s">
        <v>38</v>
      </c>
      <c r="AD13" s="46"/>
      <c r="AE13" s="10"/>
      <c r="AF13" s="64">
        <v>1907.3802000000001</v>
      </c>
      <c r="AG13" s="51">
        <v>9.4664764128720935E-2</v>
      </c>
      <c r="AH13" s="42">
        <v>98851.873005300091</v>
      </c>
      <c r="AI13" s="42">
        <v>19.814999999999998</v>
      </c>
      <c r="AJ13" s="51">
        <v>1.1368564737886717</v>
      </c>
      <c r="AK13" s="42">
        <v>9.5060792374132688E-2</v>
      </c>
      <c r="AL13" s="43">
        <f>(AK13-AG13)/AG13*100</f>
        <v>0.41834810349630352</v>
      </c>
      <c r="AM13" s="6">
        <v>0.1</v>
      </c>
      <c r="AN13" s="101">
        <f>AVERAGE(AL13:AL15)</f>
        <v>-0.15958432358600197</v>
      </c>
      <c r="AO13" s="94">
        <f>STDEV(AL13:AL15)</f>
        <v>0.51168429748882815</v>
      </c>
      <c r="AP13" s="94">
        <f>COUNT(AM13:AM15)</f>
        <v>3</v>
      </c>
      <c r="AQ13" s="97">
        <f t="shared" ref="AQ13" si="8">TINV(0.05,AP13-1)</f>
        <v>4.3026527297494637</v>
      </c>
      <c r="AR13" s="97">
        <f>AO13*AQ13/SQRT(AP13)</f>
        <v>1.2710942599024733</v>
      </c>
      <c r="AS13" s="94">
        <f>AVERAGE(AM13:AM15)</f>
        <v>0.10000000000000002</v>
      </c>
      <c r="AT13" s="94">
        <f t="shared" ref="AT13" si="9">SQRT(AR13^2+AS13^2)</f>
        <v>1.2750218106201228</v>
      </c>
      <c r="AU13" s="98">
        <f>AVERAGE(AG13:AG15)</f>
        <v>9.7141802854239609E-2</v>
      </c>
      <c r="AW13" s="80"/>
      <c r="AX13" s="98">
        <f>AVERAGE(AG13:AG15)</f>
        <v>9.7141802854239609E-2</v>
      </c>
      <c r="AY13" s="45"/>
      <c r="AZ13" s="71" t="s">
        <v>38</v>
      </c>
      <c r="BA13" s="9" t="s">
        <v>94</v>
      </c>
      <c r="BB13" s="81" t="s">
        <v>87</v>
      </c>
      <c r="BC13" s="81">
        <v>54</v>
      </c>
      <c r="BD13" s="85">
        <v>1211.2335700000001</v>
      </c>
      <c r="BE13" s="43">
        <v>0.12443165990007107</v>
      </c>
      <c r="BF13" s="85">
        <f t="shared" ref="BF13:BF18" si="10">BE13/3600*BD13</f>
        <v>4.186550101160804E-2</v>
      </c>
      <c r="BG13" s="85">
        <v>1112933.97263919</v>
      </c>
      <c r="BH13" s="85">
        <v>19.1964046107529</v>
      </c>
      <c r="BI13" s="85">
        <v>12.8582357639</v>
      </c>
      <c r="BJ13" s="85">
        <v>0.12408232949391358</v>
      </c>
      <c r="BK13" s="85">
        <f t="shared" ref="BK13:BK18" si="11">BJ13/3600*BD13</f>
        <v>4.1747967479674797E-2</v>
      </c>
      <c r="BL13" s="43">
        <f t="shared" ref="BL13:BL45" si="12">(BK13-BF13)/BF13*100</f>
        <v>-0.28074077484622723</v>
      </c>
      <c r="BM13" s="9">
        <v>0.39</v>
      </c>
      <c r="BN13" s="101">
        <f>AVERAGE(BL13:BL15)</f>
        <v>-0.20334109478573162</v>
      </c>
      <c r="BO13" s="94">
        <f>STDEV(BL13:BL15)</f>
        <v>0.26144520636736646</v>
      </c>
      <c r="BP13" s="94">
        <f>COUNT(BM13:BM15)</f>
        <v>3</v>
      </c>
      <c r="BQ13" s="97">
        <f>TINV(0.05,BP13-1)</f>
        <v>4.3026527297494637</v>
      </c>
      <c r="BR13" s="97">
        <f>BO13*BQ13/SQRT(BP13)</f>
        <v>0.64946589669352284</v>
      </c>
      <c r="BS13" s="94">
        <v>0.4</v>
      </c>
      <c r="BT13" s="94">
        <f>SQRT(BR13^2+BS13^2)</f>
        <v>0.76276205396435504</v>
      </c>
      <c r="BU13" s="98">
        <f>AVERAGE(BF13:BF15)</f>
        <v>4.1955203767017779E-2</v>
      </c>
      <c r="BW13" s="45"/>
      <c r="BX13" s="98">
        <f>AVERAGE(BE13:BE15)</f>
        <v>0.12468121525775096</v>
      </c>
      <c r="BY13" s="35"/>
      <c r="BZ13" s="94">
        <f>Q13*CA13</f>
        <v>-10.883679868405261</v>
      </c>
      <c r="CA13" s="94">
        <f>1/W13^2</f>
        <v>19.009158058938198</v>
      </c>
      <c r="CB13" s="94">
        <f>AN13*CC13</f>
        <v>-9.8164622166570792E-2</v>
      </c>
      <c r="CC13" s="94">
        <f>1/AT13^2</f>
        <v>0.61512697463462729</v>
      </c>
      <c r="CD13" s="94">
        <f>BN13*CE13</f>
        <v>-0.34949985376987491</v>
      </c>
      <c r="CE13" s="94">
        <f>1/BT13^2</f>
        <v>1.7187861319334217</v>
      </c>
      <c r="CG13" s="98">
        <f>AVERAGE(AA13,AX13,BX13)</f>
        <v>0.10761073549591445</v>
      </c>
      <c r="CH13" s="94">
        <f>SUM(BZ13,CB13,CD13)/SUM(CA13,CC13,CE13)</f>
        <v>-0.53091442447396875</v>
      </c>
      <c r="CI13" s="94">
        <f>SUM(CA13,CC13,CE13)</f>
        <v>21.343071165506245</v>
      </c>
      <c r="CJ13" s="94">
        <f>SQRT(CI13^-1)</f>
        <v>0.21645695451604474</v>
      </c>
      <c r="CK13" s="28"/>
      <c r="CL13" s="97">
        <f t="shared" ref="CL13" si="13">Q13-CH13</f>
        <v>-4.1634861226125808E-2</v>
      </c>
      <c r="CM13" s="97">
        <f>SQRT(W13^2-CJ13^2)</f>
        <v>7.584595853792335E-2</v>
      </c>
      <c r="CN13" s="100">
        <f>ABS(CL13/CM13)</f>
        <v>0.54893974614755736</v>
      </c>
      <c r="CO13" s="99">
        <f>AN13-CH13</f>
        <v>0.37133010088796681</v>
      </c>
      <c r="CP13" s="97">
        <f>SQRT(AT13^2-CJ13^2)</f>
        <v>1.2565138297681626</v>
      </c>
      <c r="CQ13" s="100">
        <f>ABS(CO13/CP13)</f>
        <v>0.2955240858403288</v>
      </c>
      <c r="CR13" s="99">
        <f>BN13-CH13</f>
        <v>0.32757332968823716</v>
      </c>
      <c r="CS13" s="97">
        <f>SQRT(BT13^2-CJ13^2)</f>
        <v>0.73140435998807163</v>
      </c>
      <c r="CT13" s="100">
        <f>ABS(CR13/CS13)</f>
        <v>0.44786898685370086</v>
      </c>
      <c r="CU13" s="28"/>
    </row>
    <row r="14" spans="2:102" x14ac:dyDescent="0.3">
      <c r="B14" s="87">
        <v>45476.640081018515</v>
      </c>
      <c r="C14" s="12" t="s">
        <v>38</v>
      </c>
      <c r="D14" s="46"/>
      <c r="E14" s="10"/>
      <c r="F14" s="10">
        <v>73.48</v>
      </c>
      <c r="G14" s="10">
        <v>2064.1922557687303</v>
      </c>
      <c r="H14" s="51">
        <v>0.10099659159894264</v>
      </c>
      <c r="I14" s="64">
        <v>101419.53544512889</v>
      </c>
      <c r="J14" s="42">
        <v>20.336131256770901</v>
      </c>
      <c r="K14" s="51"/>
      <c r="L14" s="51">
        <v>1.1645782819623938</v>
      </c>
      <c r="M14" s="42">
        <v>0.10036973676990932</v>
      </c>
      <c r="N14" s="42">
        <v>73.630201097175814</v>
      </c>
      <c r="O14" s="43">
        <f t="shared" ref="O14:O30" si="14">(M14-H14)/H14*100</f>
        <v>-0.62066929102178425</v>
      </c>
      <c r="P14" s="6">
        <v>0.2</v>
      </c>
      <c r="Q14" s="101"/>
      <c r="R14" s="94"/>
      <c r="S14" s="94"/>
      <c r="T14" s="97"/>
      <c r="U14" s="97"/>
      <c r="V14" s="94"/>
      <c r="W14" s="94"/>
      <c r="X14" s="98"/>
      <c r="Z14" s="45">
        <f t="shared" ref="Z14:Z30" si="15">H14</f>
        <v>0.10099659159894264</v>
      </c>
      <c r="AA14" s="98"/>
      <c r="AC14" s="12" t="s">
        <v>38</v>
      </c>
      <c r="AD14" s="46"/>
      <c r="AE14" s="10"/>
      <c r="AF14" s="64">
        <v>1878.018</v>
      </c>
      <c r="AG14" s="51">
        <v>9.7738627994242558E-2</v>
      </c>
      <c r="AH14" s="42">
        <v>99006.944062137001</v>
      </c>
      <c r="AI14" s="42">
        <v>19.961500000000001</v>
      </c>
      <c r="AJ14" s="51">
        <v>1.13807078158998</v>
      </c>
      <c r="AK14" s="42">
        <v>9.7404193819384421E-2</v>
      </c>
      <c r="AL14" s="43">
        <f t="shared" ref="AL14:AL48" si="16">(AK14-AG14)/AG14*100</f>
        <v>-0.3421719556753311</v>
      </c>
      <c r="AM14" s="6">
        <v>0.1</v>
      </c>
      <c r="AN14" s="101"/>
      <c r="AO14" s="94"/>
      <c r="AP14" s="94"/>
      <c r="AQ14" s="97"/>
      <c r="AR14" s="97"/>
      <c r="AS14" s="94"/>
      <c r="AT14" s="94"/>
      <c r="AU14" s="98"/>
      <c r="AW14" s="80"/>
      <c r="AX14" s="98"/>
      <c r="AY14" s="45"/>
      <c r="AZ14" s="71" t="s">
        <v>38</v>
      </c>
      <c r="BA14" s="9" t="s">
        <v>95</v>
      </c>
      <c r="BB14" s="81" t="s">
        <v>87</v>
      </c>
      <c r="BC14" s="81">
        <v>55</v>
      </c>
      <c r="BD14" s="85">
        <v>1211.7683500000001</v>
      </c>
      <c r="BE14" s="43">
        <v>0.12476306441384914</v>
      </c>
      <c r="BF14" s="85">
        <f t="shared" si="10"/>
        <v>4.1995536862698253E-2</v>
      </c>
      <c r="BG14" s="85">
        <v>1143001.22171624</v>
      </c>
      <c r="BH14" s="85">
        <v>18.617227214313701</v>
      </c>
      <c r="BI14" s="85">
        <v>13.233403739</v>
      </c>
      <c r="BJ14" s="85">
        <v>0.12487293728271719</v>
      </c>
      <c r="BK14" s="85">
        <f t="shared" si="11"/>
        <v>4.203252032520325E-2</v>
      </c>
      <c r="BL14" s="43">
        <f t="shared" si="12"/>
        <v>8.8065221373195071E-2</v>
      </c>
      <c r="BM14" s="9">
        <v>0.39</v>
      </c>
      <c r="BN14" s="101"/>
      <c r="BO14" s="94"/>
      <c r="BP14" s="94"/>
      <c r="BQ14" s="97"/>
      <c r="BR14" s="97"/>
      <c r="BS14" s="94"/>
      <c r="BT14" s="94"/>
      <c r="BU14" s="98"/>
      <c r="BW14" s="45"/>
      <c r="BX14" s="98"/>
      <c r="BY14" s="35"/>
      <c r="BZ14" s="94"/>
      <c r="CA14" s="94"/>
      <c r="CB14" s="94"/>
      <c r="CC14" s="94"/>
      <c r="CD14" s="94"/>
      <c r="CE14" s="94"/>
      <c r="CG14" s="98"/>
      <c r="CH14" s="94"/>
      <c r="CI14" s="94"/>
      <c r="CJ14" s="94"/>
      <c r="CK14" s="28"/>
      <c r="CL14" s="97"/>
      <c r="CM14" s="97"/>
      <c r="CN14" s="100"/>
      <c r="CO14" s="99"/>
      <c r="CP14" s="97"/>
      <c r="CQ14" s="100"/>
      <c r="CR14" s="99"/>
      <c r="CS14" s="97"/>
      <c r="CT14" s="100"/>
      <c r="CU14" s="28"/>
    </row>
    <row r="15" spans="2:102" x14ac:dyDescent="0.3">
      <c r="B15" s="87">
        <v>45476.64130787037</v>
      </c>
      <c r="C15" s="12" t="s">
        <v>38</v>
      </c>
      <c r="D15" s="46"/>
      <c r="E15" s="10"/>
      <c r="F15" s="10">
        <v>73.454499999999996</v>
      </c>
      <c r="G15" s="10">
        <v>2064.1922557687303</v>
      </c>
      <c r="H15" s="51">
        <v>0.10103161227577885</v>
      </c>
      <c r="I15" s="64">
        <v>101419.34479992473</v>
      </c>
      <c r="J15" s="42">
        <v>20.33546145347832</v>
      </c>
      <c r="K15" s="51"/>
      <c r="L15" s="51">
        <v>1.1645787573098658</v>
      </c>
      <c r="M15" s="42">
        <v>0.10045978604152191</v>
      </c>
      <c r="N15" s="42">
        <v>73.564201096192846</v>
      </c>
      <c r="O15" s="43">
        <f t="shared" si="14"/>
        <v>-0.56598743836342136</v>
      </c>
      <c r="P15" s="6">
        <v>0.2</v>
      </c>
      <c r="Q15" s="101"/>
      <c r="R15" s="94"/>
      <c r="S15" s="94"/>
      <c r="T15" s="97"/>
      <c r="U15" s="97"/>
      <c r="V15" s="94"/>
      <c r="W15" s="94"/>
      <c r="X15" s="98"/>
      <c r="Z15" s="45">
        <f t="shared" si="15"/>
        <v>0.10103161227577885</v>
      </c>
      <c r="AA15" s="98"/>
      <c r="AC15" s="12" t="s">
        <v>38</v>
      </c>
      <c r="AD15" s="46"/>
      <c r="AE15" s="10"/>
      <c r="AF15" s="64">
        <v>1894.7963999999999</v>
      </c>
      <c r="AG15" s="51">
        <v>9.9022016439755361E-2</v>
      </c>
      <c r="AH15" s="42">
        <v>98848.299379643693</v>
      </c>
      <c r="AI15" s="42">
        <v>19.988999999999976</v>
      </c>
      <c r="AJ15" s="51">
        <v>1.1361405896706531</v>
      </c>
      <c r="AK15" s="42">
        <v>9.8472514436727096E-2</v>
      </c>
      <c r="AL15" s="43">
        <f t="shared" si="16"/>
        <v>-0.55492911857897831</v>
      </c>
      <c r="AM15" s="6">
        <v>0.1</v>
      </c>
      <c r="AN15" s="101"/>
      <c r="AO15" s="94"/>
      <c r="AP15" s="94"/>
      <c r="AQ15" s="97"/>
      <c r="AR15" s="97"/>
      <c r="AS15" s="94"/>
      <c r="AT15" s="94"/>
      <c r="AU15" s="98"/>
      <c r="AW15" s="80"/>
      <c r="AX15" s="98"/>
      <c r="AY15" s="45"/>
      <c r="AZ15" s="71" t="s">
        <v>38</v>
      </c>
      <c r="BA15" s="9" t="s">
        <v>96</v>
      </c>
      <c r="BB15" s="81" t="s">
        <v>87</v>
      </c>
      <c r="BC15" s="81">
        <v>56</v>
      </c>
      <c r="BD15" s="85">
        <v>1211.1956</v>
      </c>
      <c r="BE15" s="43">
        <v>0.12484892145933266</v>
      </c>
      <c r="BF15" s="85">
        <f t="shared" si="10"/>
        <v>4.200457342674703E-2</v>
      </c>
      <c r="BG15" s="85">
        <v>1150746.7211265902</v>
      </c>
      <c r="BH15" s="85">
        <v>18.126024667229998</v>
      </c>
      <c r="BI15" s="85">
        <v>13.3464512982</v>
      </c>
      <c r="BJ15" s="85">
        <v>0.12432786731858879</v>
      </c>
      <c r="BK15" s="85">
        <f t="shared" si="11"/>
        <v>4.1829268292682929E-2</v>
      </c>
      <c r="BL15" s="43">
        <f t="shared" si="12"/>
        <v>-0.41734773088416266</v>
      </c>
      <c r="BM15" s="9">
        <v>0.39</v>
      </c>
      <c r="BN15" s="101"/>
      <c r="BO15" s="94"/>
      <c r="BP15" s="94"/>
      <c r="BQ15" s="97"/>
      <c r="BR15" s="97"/>
      <c r="BS15" s="94"/>
      <c r="BT15" s="94"/>
      <c r="BU15" s="98"/>
      <c r="BW15" s="45"/>
      <c r="BX15" s="98"/>
      <c r="BY15" s="35"/>
      <c r="BZ15" s="94"/>
      <c r="CA15" s="94"/>
      <c r="CB15" s="94"/>
      <c r="CC15" s="94"/>
      <c r="CD15" s="94"/>
      <c r="CE15" s="94"/>
      <c r="CG15" s="98"/>
      <c r="CH15" s="94"/>
      <c r="CI15" s="94"/>
      <c r="CJ15" s="94"/>
      <c r="CK15" s="28"/>
      <c r="CL15" s="97"/>
      <c r="CM15" s="97"/>
      <c r="CN15" s="100"/>
      <c r="CO15" s="99"/>
      <c r="CP15" s="97"/>
      <c r="CQ15" s="100"/>
      <c r="CR15" s="99"/>
      <c r="CS15" s="97"/>
      <c r="CT15" s="100"/>
      <c r="CU15" s="28"/>
    </row>
    <row r="16" spans="2:102" x14ac:dyDescent="0.3">
      <c r="B16" s="87">
        <v>45476.626388888886</v>
      </c>
      <c r="C16" s="12" t="s">
        <v>38</v>
      </c>
      <c r="D16" s="46"/>
      <c r="E16" s="10"/>
      <c r="F16" s="10">
        <v>41.557499999999997</v>
      </c>
      <c r="G16" s="10">
        <v>3474.9426916285315</v>
      </c>
      <c r="H16" s="51">
        <v>0.30044505297651947</v>
      </c>
      <c r="I16" s="64">
        <v>101503.51998396488</v>
      </c>
      <c r="J16" s="42">
        <v>20.34293863823768</v>
      </c>
      <c r="K16" s="51"/>
      <c r="L16" s="51">
        <v>1.1655157804162168</v>
      </c>
      <c r="M16" s="42">
        <v>0.30081441096649797</v>
      </c>
      <c r="N16" s="42">
        <v>41.594400619805128</v>
      </c>
      <c r="O16" s="43">
        <f t="shared" si="14"/>
        <v>0.12293695180508396</v>
      </c>
      <c r="P16" s="6">
        <v>0.2</v>
      </c>
      <c r="Q16" s="101">
        <f t="shared" ref="Q16" si="17">AVERAGE(O16:O18)</f>
        <v>0.13848713103540508</v>
      </c>
      <c r="R16" s="94">
        <f t="shared" ref="R16" si="18">STDEV(O16:O18)</f>
        <v>1.6308878570504354E-2</v>
      </c>
      <c r="S16" s="94">
        <f t="shared" ref="S16" si="19">COUNT(P16:P18)</f>
        <v>3</v>
      </c>
      <c r="T16" s="97">
        <f t="shared" ref="T16" si="20">TINV(0.05,S16-1)</f>
        <v>4.3026527297494637</v>
      </c>
      <c r="U16" s="97">
        <f t="shared" ref="U16" si="21">R16*T16/SQRT(S16)</f>
        <v>4.0513500293346702E-2</v>
      </c>
      <c r="V16" s="94">
        <f t="shared" ref="V16" si="22">AVERAGE(P16:P18)</f>
        <v>0.20000000000000004</v>
      </c>
      <c r="W16" s="94">
        <f t="shared" ref="W16" si="23">SQRT(U16^2+V16^2)</f>
        <v>0.20406210747225711</v>
      </c>
      <c r="X16" s="98">
        <f t="shared" ref="X16" si="24">AVERAGE(H16:H18)</f>
        <v>0.30041371363641883</v>
      </c>
      <c r="Z16" s="45">
        <f t="shared" si="15"/>
        <v>0.30044505297651947</v>
      </c>
      <c r="AA16" s="98">
        <f t="shared" si="7"/>
        <v>0.30041371363641883</v>
      </c>
      <c r="AC16" s="12" t="s">
        <v>38</v>
      </c>
      <c r="AD16" s="46"/>
      <c r="AE16" s="10"/>
      <c r="AF16" s="64">
        <v>623.89139999999998</v>
      </c>
      <c r="AG16" s="51">
        <v>0.30502623898162812</v>
      </c>
      <c r="AH16" s="42">
        <v>98842.347972824908</v>
      </c>
      <c r="AI16" s="42">
        <v>19.82850000000002</v>
      </c>
      <c r="AJ16" s="51">
        <v>1.1366945505847981</v>
      </c>
      <c r="AK16" s="42">
        <v>0.30493111852323085</v>
      </c>
      <c r="AL16" s="43">
        <f t="shared" si="16"/>
        <v>-3.1184352767434489E-2</v>
      </c>
      <c r="AM16" s="6">
        <v>0.1</v>
      </c>
      <c r="AN16" s="101">
        <f>AVERAGE(AL16:AL18)</f>
        <v>3.5264802573686249E-2</v>
      </c>
      <c r="AO16" s="94">
        <f>STDEV(AL16:AL18)</f>
        <v>0.41734932193341129</v>
      </c>
      <c r="AP16" s="94">
        <f>COUNT(AM16:AM18)</f>
        <v>3</v>
      </c>
      <c r="AQ16" s="97">
        <f t="shared" ref="AQ16" si="25">TINV(0.05,AP16-1)</f>
        <v>4.3026527297494637</v>
      </c>
      <c r="AR16" s="97">
        <f t="shared" ref="AR16" si="26">AO16*AQ16/SQRT(AP16)</f>
        <v>1.0367531895882165</v>
      </c>
      <c r="AS16" s="94">
        <f>AVERAGE(AM16:AM18)</f>
        <v>0.10000000000000002</v>
      </c>
      <c r="AT16" s="94">
        <f t="shared" ref="AT16" si="27">SQRT(AR16^2+AS16^2)</f>
        <v>1.0415647728880524</v>
      </c>
      <c r="AU16" s="98">
        <f>AVERAGE(AG16:AG18)</f>
        <v>0.30724484795214563</v>
      </c>
      <c r="AV16" s="48"/>
      <c r="AW16" s="80"/>
      <c r="AX16" s="98">
        <f t="shared" ref="AX16" si="28">AVERAGE(AG16:AG18)</f>
        <v>0.30724484795214563</v>
      </c>
      <c r="AY16" s="45"/>
      <c r="AZ16" s="71" t="s">
        <v>38</v>
      </c>
      <c r="BA16" s="9" t="s">
        <v>91</v>
      </c>
      <c r="BB16" s="81" t="s">
        <v>87</v>
      </c>
      <c r="BC16" s="81">
        <v>48</v>
      </c>
      <c r="BD16" s="85">
        <v>1210.9099799999999</v>
      </c>
      <c r="BE16" s="43">
        <v>0.28805241226798867</v>
      </c>
      <c r="BF16" s="85">
        <f t="shared" si="10"/>
        <v>9.6890427993994957E-2</v>
      </c>
      <c r="BG16" s="85">
        <v>1090740.548310275</v>
      </c>
      <c r="BH16" s="85">
        <v>18.022143244020199</v>
      </c>
      <c r="BI16" s="85">
        <v>12.6535776782</v>
      </c>
      <c r="BJ16" s="85">
        <v>0.28938124215174232</v>
      </c>
      <c r="BK16" s="85">
        <f t="shared" si="11"/>
        <v>9.7337398373983725E-2</v>
      </c>
      <c r="BL16" s="43">
        <f t="shared" si="12"/>
        <v>0.46131531178339902</v>
      </c>
      <c r="BM16" s="9">
        <v>0.39</v>
      </c>
      <c r="BN16" s="101">
        <f t="shared" ref="BN16" si="29">AVERAGE(BL16:BL18)</f>
        <v>0.42690078221513361</v>
      </c>
      <c r="BO16" s="94">
        <f t="shared" ref="BO16" si="30">STDEV(BL16:BL18)</f>
        <v>3.5881835684444259E-2</v>
      </c>
      <c r="BP16" s="94">
        <f t="shared" ref="BP16" si="31">COUNT(BM16:BM18)</f>
        <v>3</v>
      </c>
      <c r="BQ16" s="97">
        <f t="shared" ref="BQ16" si="32">TINV(0.05,BP16-1)</f>
        <v>4.3026527297494637</v>
      </c>
      <c r="BR16" s="97">
        <f t="shared" ref="BR16" si="33">BO16*BQ16/SQRT(BP16)</f>
        <v>8.913542119055673E-2</v>
      </c>
      <c r="BS16" s="94">
        <v>0.4</v>
      </c>
      <c r="BT16" s="94">
        <f t="shared" ref="BT16" si="34">SQRT(BR16^2+BS16^2)</f>
        <v>0.40981108246461317</v>
      </c>
      <c r="BU16" s="98">
        <f t="shared" ref="BU16" si="35">AVERAGE(BF16:BF18)</f>
        <v>9.365722762375199E-2</v>
      </c>
      <c r="BV16" s="35"/>
      <c r="BW16" s="45"/>
      <c r="BX16" s="98">
        <f t="shared" ref="BX16" si="36">AVERAGE(BE16:BE18)</f>
        <v>0.28830389831032693</v>
      </c>
      <c r="BY16" s="35"/>
      <c r="BZ16" s="94">
        <f t="shared" ref="BZ16" si="37">Q16*CA16</f>
        <v>3.3257123500408943</v>
      </c>
      <c r="CA16" s="94">
        <f t="shared" ref="CA16" si="38">1/W16^2</f>
        <v>24.014594895396133</v>
      </c>
      <c r="CB16" s="94">
        <f t="shared" ref="CB16" si="39">AN16*CC16</f>
        <v>3.2506401164960279E-2</v>
      </c>
      <c r="CC16" s="94">
        <f t="shared" ref="CC16" si="40">1/AT16^2</f>
        <v>0.92178032464630266</v>
      </c>
      <c r="CD16" s="94">
        <f t="shared" ref="CD16" si="41">BN16*CE16</f>
        <v>2.5419063906075046</v>
      </c>
      <c r="CE16" s="94">
        <f t="shared" ref="CE16" si="42">1/BT16^2</f>
        <v>5.95432591483641</v>
      </c>
      <c r="CG16" s="98">
        <f t="shared" ref="CG16" si="43">AVERAGE(AA16,AX16,BX16)</f>
        <v>0.29865415329963046</v>
      </c>
      <c r="CH16" s="94">
        <f t="shared" ref="CH16" si="44">SUM(BZ16,CB16,CD16)/SUM(CA16,CC16,CE16)</f>
        <v>0.19100003965761392</v>
      </c>
      <c r="CI16" s="94">
        <f t="shared" ref="CI16" si="45">SUM(CA16,CC16,CE16)</f>
        <v>30.890701134878846</v>
      </c>
      <c r="CJ16" s="94">
        <f t="shared" ref="CJ16" si="46">SQRT(CI16^-1)</f>
        <v>0.17992276522922995</v>
      </c>
      <c r="CK16" s="28"/>
      <c r="CL16" s="97">
        <f t="shared" ref="CL16" si="47">Q16-CH16</f>
        <v>-5.2512908622208837E-2</v>
      </c>
      <c r="CM16" s="97">
        <f t="shared" ref="CM16" si="48">SQRT(W16^2-CJ16^2)</f>
        <v>9.6276384738348028E-2</v>
      </c>
      <c r="CN16" s="100">
        <f t="shared" ref="CN16" si="49">ABS(CL16/CM16)</f>
        <v>0.54543914133174054</v>
      </c>
      <c r="CO16" s="99">
        <f t="shared" ref="CO16" si="50">AN16-CH16</f>
        <v>-0.15573523708392767</v>
      </c>
      <c r="CP16" s="97">
        <f t="shared" ref="CP16" si="51">SQRT(AT16^2-CJ16^2)</f>
        <v>1.0259069035120134</v>
      </c>
      <c r="CQ16" s="100">
        <f t="shared" ref="CQ16" si="52">ABS(CO16/CP16)</f>
        <v>0.15180250425335401</v>
      </c>
      <c r="CR16" s="99">
        <f t="shared" ref="CR16" si="53">BN16-CH16</f>
        <v>0.23590074255751969</v>
      </c>
      <c r="CS16" s="97">
        <f t="shared" ref="CS16" si="54">SQRT(BT16^2-CJ16^2)</f>
        <v>0.36820228389172899</v>
      </c>
      <c r="CT16" s="100">
        <f t="shared" ref="CT16" si="55">ABS(CR16/CS16)</f>
        <v>0.64068245330842932</v>
      </c>
      <c r="CU16" s="28"/>
    </row>
    <row r="17" spans="2:99" x14ac:dyDescent="0.3">
      <c r="B17" s="87">
        <v>45476.627187500002</v>
      </c>
      <c r="C17" s="12" t="s">
        <v>38</v>
      </c>
      <c r="D17" s="46"/>
      <c r="E17" s="10"/>
      <c r="F17" s="10">
        <v>41.563499999999998</v>
      </c>
      <c r="G17" s="10">
        <v>3474.9426916285315</v>
      </c>
      <c r="H17" s="51">
        <v>0.30039081822495595</v>
      </c>
      <c r="I17" s="64">
        <v>101498.43432534611</v>
      </c>
      <c r="J17" s="42">
        <v>20.342122262390042</v>
      </c>
      <c r="K17" s="51"/>
      <c r="L17" s="51">
        <v>1.1654606209508676</v>
      </c>
      <c r="M17" s="42">
        <v>0.3008578097619749</v>
      </c>
      <c r="N17" s="42">
        <v>41.588400619715685</v>
      </c>
      <c r="O17" s="43">
        <f t="shared" si="14"/>
        <v>0.15546132194667731</v>
      </c>
      <c r="P17" s="6">
        <v>0.2</v>
      </c>
      <c r="Q17" s="101"/>
      <c r="R17" s="94"/>
      <c r="S17" s="94"/>
      <c r="T17" s="97"/>
      <c r="U17" s="97"/>
      <c r="V17" s="94"/>
      <c r="W17" s="94"/>
      <c r="X17" s="98"/>
      <c r="Z17" s="45">
        <f t="shared" si="15"/>
        <v>0.30039081822495595</v>
      </c>
      <c r="AA17" s="98"/>
      <c r="AC17" s="12" t="s">
        <v>38</v>
      </c>
      <c r="AD17" s="46"/>
      <c r="AE17" s="10"/>
      <c r="AF17" s="64">
        <v>595.5809999999999</v>
      </c>
      <c r="AG17" s="51">
        <v>0.30820304639543</v>
      </c>
      <c r="AH17" s="42">
        <v>98981.824936912104</v>
      </c>
      <c r="AI17" s="42">
        <v>19.951999999999998</v>
      </c>
      <c r="AJ17" s="51">
        <v>1.1378189185137337</v>
      </c>
      <c r="AK17" s="42">
        <v>0.30714013588125327</v>
      </c>
      <c r="AL17" s="43">
        <f t="shared" si="16"/>
        <v>-0.34487346137811892</v>
      </c>
      <c r="AM17" s="6">
        <v>0.1</v>
      </c>
      <c r="AN17" s="101"/>
      <c r="AO17" s="94"/>
      <c r="AP17" s="94"/>
      <c r="AQ17" s="97"/>
      <c r="AR17" s="97"/>
      <c r="AS17" s="94"/>
      <c r="AT17" s="94"/>
      <c r="AU17" s="98"/>
      <c r="AV17" s="48"/>
      <c r="AW17" s="80"/>
      <c r="AX17" s="98"/>
      <c r="AY17" s="45"/>
      <c r="AZ17" s="71" t="s">
        <v>38</v>
      </c>
      <c r="BA17" s="9" t="s">
        <v>92</v>
      </c>
      <c r="BB17" s="81" t="s">
        <v>87</v>
      </c>
      <c r="BC17" s="81">
        <v>49</v>
      </c>
      <c r="BD17" s="85">
        <v>1210.90263</v>
      </c>
      <c r="BE17" s="43">
        <v>0.28832541790888283</v>
      </c>
      <c r="BF17" s="85">
        <f t="shared" si="10"/>
        <v>9.6981668567143145E-2</v>
      </c>
      <c r="BG17" s="85">
        <v>1090383.9009716311</v>
      </c>
      <c r="BH17" s="85">
        <v>18.128972045485298</v>
      </c>
      <c r="BI17" s="85">
        <v>12.644651808600001</v>
      </c>
      <c r="BJ17" s="85">
        <v>0.28956427846016275</v>
      </c>
      <c r="BK17" s="85">
        <f t="shared" si="11"/>
        <v>9.7398373983739836E-2</v>
      </c>
      <c r="BL17" s="43">
        <f t="shared" si="12"/>
        <v>0.42967441450875232</v>
      </c>
      <c r="BM17" s="9">
        <v>0.39</v>
      </c>
      <c r="BN17" s="101"/>
      <c r="BO17" s="94"/>
      <c r="BP17" s="94"/>
      <c r="BQ17" s="97"/>
      <c r="BR17" s="97"/>
      <c r="BS17" s="94"/>
      <c r="BT17" s="94"/>
      <c r="BU17" s="98"/>
      <c r="BV17" s="35"/>
      <c r="BW17" s="45"/>
      <c r="BX17" s="98"/>
      <c r="BY17" s="35"/>
      <c r="BZ17" s="94"/>
      <c r="CA17" s="94"/>
      <c r="CB17" s="94"/>
      <c r="CC17" s="94"/>
      <c r="CD17" s="94"/>
      <c r="CE17" s="94"/>
      <c r="CG17" s="98"/>
      <c r="CH17" s="94"/>
      <c r="CI17" s="94"/>
      <c r="CJ17" s="94"/>
      <c r="CK17" s="28"/>
      <c r="CL17" s="97"/>
      <c r="CM17" s="97"/>
      <c r="CN17" s="100"/>
      <c r="CO17" s="99"/>
      <c r="CP17" s="97"/>
      <c r="CQ17" s="100"/>
      <c r="CR17" s="99"/>
      <c r="CS17" s="97"/>
      <c r="CT17" s="100"/>
      <c r="CU17" s="28"/>
    </row>
    <row r="18" spans="2:99" x14ac:dyDescent="0.3">
      <c r="B18" s="87">
        <v>45476.628009259257</v>
      </c>
      <c r="C18" s="12" t="s">
        <v>38</v>
      </c>
      <c r="D18" s="46"/>
      <c r="E18" s="10"/>
      <c r="F18" s="10">
        <v>41.561499999999995</v>
      </c>
      <c r="G18" s="10">
        <v>3474.9426916285315</v>
      </c>
      <c r="H18" s="51">
        <v>0.30040526970778103</v>
      </c>
      <c r="I18" s="64">
        <v>101501.47352141944</v>
      </c>
      <c r="J18" s="42">
        <v>20.342209092554274</v>
      </c>
      <c r="K18" s="51"/>
      <c r="L18" s="51">
        <v>1.1654951812193965</v>
      </c>
      <c r="M18" s="42">
        <v>0.30081701454114768</v>
      </c>
      <c r="N18" s="42">
        <v>41.350800616174638</v>
      </c>
      <c r="O18" s="43">
        <f t="shared" si="14"/>
        <v>0.13706311935445392</v>
      </c>
      <c r="P18" s="6">
        <v>0.2</v>
      </c>
      <c r="Q18" s="101"/>
      <c r="R18" s="94"/>
      <c r="S18" s="94"/>
      <c r="T18" s="97"/>
      <c r="U18" s="97"/>
      <c r="V18" s="94"/>
      <c r="W18" s="94"/>
      <c r="X18" s="98"/>
      <c r="Z18" s="45">
        <f t="shared" si="15"/>
        <v>0.30040526970778103</v>
      </c>
      <c r="AA18" s="98"/>
      <c r="AC18" s="12" t="s">
        <v>38</v>
      </c>
      <c r="AD18" s="46"/>
      <c r="AE18" s="10"/>
      <c r="AF18" s="64">
        <v>590.33820000000003</v>
      </c>
      <c r="AG18" s="51">
        <v>0.30850525847937876</v>
      </c>
      <c r="AH18" s="42">
        <v>98864.761142061252</v>
      </c>
      <c r="AI18" s="42">
        <v>19.975500000000011</v>
      </c>
      <c r="AJ18" s="51">
        <v>1.136382131619746</v>
      </c>
      <c r="AK18" s="42">
        <v>0.30999179792193698</v>
      </c>
      <c r="AL18" s="43">
        <f t="shared" si="16"/>
        <v>0.48185222186661214</v>
      </c>
      <c r="AM18" s="6">
        <v>0.1</v>
      </c>
      <c r="AN18" s="101"/>
      <c r="AO18" s="94"/>
      <c r="AP18" s="94"/>
      <c r="AQ18" s="97"/>
      <c r="AR18" s="97"/>
      <c r="AS18" s="94"/>
      <c r="AT18" s="94"/>
      <c r="AU18" s="98"/>
      <c r="AV18" s="48"/>
      <c r="AW18" s="80"/>
      <c r="AX18" s="98"/>
      <c r="AY18" s="45"/>
      <c r="AZ18" s="71" t="s">
        <v>38</v>
      </c>
      <c r="BA18" s="9" t="s">
        <v>93</v>
      </c>
      <c r="BB18" s="81" t="s">
        <v>87</v>
      </c>
      <c r="BC18" s="81">
        <v>50</v>
      </c>
      <c r="BD18" s="85">
        <v>1086.73036</v>
      </c>
      <c r="BE18" s="43">
        <v>0.28853386475410919</v>
      </c>
      <c r="BF18" s="85">
        <f t="shared" si="10"/>
        <v>8.7099586310117882E-2</v>
      </c>
      <c r="BG18" s="85">
        <v>1089587.6707161102</v>
      </c>
      <c r="BH18" s="85">
        <v>18.2307108824753</v>
      </c>
      <c r="BI18" s="85">
        <v>12.6308595519</v>
      </c>
      <c r="BJ18" s="85">
        <v>0.28965831763904892</v>
      </c>
      <c r="BK18" s="85">
        <f t="shared" si="11"/>
        <v>8.7439024390243883E-2</v>
      </c>
      <c r="BL18" s="43">
        <f t="shared" si="12"/>
        <v>0.38971262035324944</v>
      </c>
      <c r="BM18" s="9">
        <v>0.39</v>
      </c>
      <c r="BN18" s="101"/>
      <c r="BO18" s="94"/>
      <c r="BP18" s="94"/>
      <c r="BQ18" s="97"/>
      <c r="BR18" s="97"/>
      <c r="BS18" s="94"/>
      <c r="BT18" s="94"/>
      <c r="BU18" s="98"/>
      <c r="BV18" s="35"/>
      <c r="BW18" s="45"/>
      <c r="BX18" s="98"/>
      <c r="BY18" s="35"/>
      <c r="BZ18" s="94"/>
      <c r="CA18" s="94"/>
      <c r="CB18" s="94"/>
      <c r="CC18" s="94"/>
      <c r="CD18" s="94"/>
      <c r="CE18" s="94"/>
      <c r="CG18" s="98"/>
      <c r="CH18" s="94"/>
      <c r="CI18" s="94"/>
      <c r="CJ18" s="94"/>
      <c r="CK18" s="28"/>
      <c r="CL18" s="97"/>
      <c r="CM18" s="97"/>
      <c r="CN18" s="100"/>
      <c r="CO18" s="99"/>
      <c r="CP18" s="97"/>
      <c r="CQ18" s="100"/>
      <c r="CR18" s="99"/>
      <c r="CS18" s="97"/>
      <c r="CT18" s="100"/>
      <c r="CU18" s="28"/>
    </row>
    <row r="19" spans="2:99" x14ac:dyDescent="0.3">
      <c r="B19" s="87">
        <v>45476.61445601852</v>
      </c>
      <c r="C19" s="12" t="s">
        <v>38</v>
      </c>
      <c r="D19" s="46"/>
      <c r="E19" s="10"/>
      <c r="F19" s="10">
        <v>63.334499999999998</v>
      </c>
      <c r="G19" s="10">
        <v>10615.15092876458</v>
      </c>
      <c r="H19" s="51">
        <v>0.60144314970841961</v>
      </c>
      <c r="I19" s="64">
        <v>101719.93241103468</v>
      </c>
      <c r="J19" s="42">
        <v>20.348485804501092</v>
      </c>
      <c r="K19" s="51"/>
      <c r="L19" s="51">
        <v>1.1679791966143949</v>
      </c>
      <c r="M19" s="42">
        <v>0.60320883136959114</v>
      </c>
      <c r="N19" s="42">
        <v>63.441200945348101</v>
      </c>
      <c r="O19" s="43">
        <f t="shared" si="14"/>
        <v>0.2935741577616322</v>
      </c>
      <c r="P19" s="6">
        <v>0.2</v>
      </c>
      <c r="Q19" s="101">
        <f t="shared" ref="Q19" si="56">AVERAGE(O19:O21)</f>
        <v>0.30821455017970695</v>
      </c>
      <c r="R19" s="94">
        <f t="shared" ref="R19" si="57">STDEV(O19:O21)</f>
        <v>1.3128109003422593E-2</v>
      </c>
      <c r="S19" s="94">
        <f t="shared" ref="S19" si="58">COUNT(P19:P21)</f>
        <v>3</v>
      </c>
      <c r="T19" s="97">
        <f t="shared" ref="T19" si="59">TINV(0.05,S19-1)</f>
        <v>4.3026527297494637</v>
      </c>
      <c r="U19" s="97">
        <f t="shared" ref="U19" si="60">R19*T19/SQRT(S19)</f>
        <v>3.261203065937112E-2</v>
      </c>
      <c r="V19" s="94">
        <f t="shared" ref="V19" si="61">AVERAGE(P19:P21)</f>
        <v>0.20000000000000004</v>
      </c>
      <c r="W19" s="94">
        <f t="shared" ref="W19" si="62">SQRT(U19^2+V19^2)</f>
        <v>0.20264141862839338</v>
      </c>
      <c r="X19" s="98">
        <f t="shared" ref="X19" si="63">AVERAGE(H19:H21)</f>
        <v>0.60131523190555836</v>
      </c>
      <c r="Z19" s="45">
        <f t="shared" si="15"/>
        <v>0.60144314970841961</v>
      </c>
      <c r="AA19" s="98">
        <f t="shared" si="7"/>
        <v>0.60131523190555836</v>
      </c>
      <c r="AC19" s="12" t="s">
        <v>38</v>
      </c>
      <c r="AD19" s="46"/>
      <c r="AE19" s="10"/>
      <c r="AF19" s="64">
        <v>444.58980000000003</v>
      </c>
      <c r="AG19" s="51">
        <v>0.60006410123286469</v>
      </c>
      <c r="AH19" s="42">
        <v>98844.285000000003</v>
      </c>
      <c r="AI19" s="42">
        <v>19.826999999999998</v>
      </c>
      <c r="AJ19" s="51">
        <v>1.1367226463715141</v>
      </c>
      <c r="AK19" s="42">
        <v>0.5990723660656051</v>
      </c>
      <c r="AL19" s="43">
        <f t="shared" si="16"/>
        <v>-0.16527153769439201</v>
      </c>
      <c r="AM19" s="6">
        <v>0.1</v>
      </c>
      <c r="AN19" s="101">
        <f>AVERAGE(AL19:AL21)</f>
        <v>1.7676983637498884E-2</v>
      </c>
      <c r="AO19" s="94">
        <f>STDEV(AL19:AL21)</f>
        <v>0.16200141883731206</v>
      </c>
      <c r="AP19" s="94">
        <f>COUNT(AM19:AM21)</f>
        <v>3</v>
      </c>
      <c r="AQ19" s="97">
        <f t="shared" ref="AQ19" si="64">TINV(0.05,AP19-1)</f>
        <v>4.3026527297494637</v>
      </c>
      <c r="AR19" s="97">
        <f t="shared" ref="AR19" si="65">AO19*AQ19/SQRT(AP19)</f>
        <v>0.40243383389082737</v>
      </c>
      <c r="AS19" s="94">
        <f>AVERAGE(AM19:AM21)</f>
        <v>0.10000000000000002</v>
      </c>
      <c r="AT19" s="94">
        <f t="shared" ref="AT19" si="66">SQRT(AR19^2+AS19^2)</f>
        <v>0.4146721484016862</v>
      </c>
      <c r="AU19" s="98">
        <f>AVERAGE(AG19:AG21)</f>
        <v>0.60123969640282426</v>
      </c>
      <c r="AV19" s="48"/>
      <c r="AW19" s="80"/>
      <c r="AX19" s="98">
        <f t="shared" ref="AX19" si="67">AVERAGE(AG19:AG21)</f>
        <v>0.60123969640282426</v>
      </c>
      <c r="AY19" s="45"/>
      <c r="AZ19" s="71" t="s">
        <v>38</v>
      </c>
      <c r="BA19" s="9" t="s">
        <v>88</v>
      </c>
      <c r="BB19" s="81" t="s">
        <v>87</v>
      </c>
      <c r="BC19" s="81">
        <v>51</v>
      </c>
      <c r="BD19" s="85">
        <v>1211.07005</v>
      </c>
      <c r="BE19" s="43">
        <v>0.58066287706211428</v>
      </c>
      <c r="BF19" s="85">
        <f t="shared" ref="BF19:BF21" si="68">BE19/3600*BD19</f>
        <v>0.1953398387657663</v>
      </c>
      <c r="BG19" s="85">
        <v>1081410.0909227871</v>
      </c>
      <c r="BH19" s="85">
        <v>19.950177756845701</v>
      </c>
      <c r="BI19" s="85">
        <v>12.460201534799999</v>
      </c>
      <c r="BJ19" s="85">
        <v>0.58545283176964247</v>
      </c>
      <c r="BK19" s="85">
        <f t="shared" ref="BK19:BK21" si="69">BJ19/3600*BD19</f>
        <v>0.19695121951219513</v>
      </c>
      <c r="BL19" s="43">
        <f t="shared" si="12"/>
        <v>0.82491147561611933</v>
      </c>
      <c r="BM19" s="9">
        <v>0.39</v>
      </c>
      <c r="BN19" s="101">
        <f t="shared" ref="BN19" si="70">AVERAGE(BL19:BL21)</f>
        <v>0.72781449723747504</v>
      </c>
      <c r="BO19" s="94">
        <f t="shared" ref="BO19" si="71">STDEV(BL19:BL21)</f>
        <v>0.11832078893076596</v>
      </c>
      <c r="BP19" s="94">
        <f t="shared" ref="BP19" si="72">COUNT(BM19:BM21)</f>
        <v>3</v>
      </c>
      <c r="BQ19" s="97">
        <f t="shared" ref="BQ19" si="73">TINV(0.05,BP19-1)</f>
        <v>4.3026527297494637</v>
      </c>
      <c r="BR19" s="97">
        <f t="shared" ref="BR19" si="74">BO19*BQ19/SQRT(BP19)</f>
        <v>0.29392513386696689</v>
      </c>
      <c r="BS19" s="94">
        <v>0.4</v>
      </c>
      <c r="BT19" s="94">
        <f t="shared" ref="BT19" si="75">SQRT(BR19^2+BS19^2)</f>
        <v>0.49637887174890355</v>
      </c>
      <c r="BU19" s="98">
        <f t="shared" ref="BU19" si="76">AVERAGE(BF19:BF21)</f>
        <v>0.195804182230499</v>
      </c>
      <c r="BV19" s="35"/>
      <c r="BW19" s="45"/>
      <c r="BX19" s="98">
        <f t="shared" ref="BX19" si="77">AVERAGE(BE19:BE21)</f>
        <v>0.58202985678683083</v>
      </c>
      <c r="BY19" s="35"/>
      <c r="BZ19" s="94">
        <f t="shared" ref="BZ19" si="78">Q19*CA19</f>
        <v>7.5057950696753712</v>
      </c>
      <c r="CA19" s="94">
        <f t="shared" ref="CA19" si="79">1/W19^2</f>
        <v>24.35250076707624</v>
      </c>
      <c r="CB19" s="94">
        <f t="shared" ref="CB19" si="80">AN19*CC19</f>
        <v>0.1028012573066793</v>
      </c>
      <c r="CC19" s="94">
        <f t="shared" ref="CC19" si="81">1/AT19^2</f>
        <v>5.8155429350855385</v>
      </c>
      <c r="CD19" s="94">
        <f t="shared" ref="CD19" si="82">BN19*CE19</f>
        <v>2.9538886958921036</v>
      </c>
      <c r="CE19" s="94">
        <f t="shared" ref="CE19" si="83">1/BT19^2</f>
        <v>4.0585735886053582</v>
      </c>
      <c r="CG19" s="98">
        <f t="shared" ref="CG19" si="84">AVERAGE(AA19,AX19,BX19)</f>
        <v>0.59486159503173786</v>
      </c>
      <c r="CH19" s="94">
        <f t="shared" ref="CH19" si="85">SUM(BZ19,CB19,CD19)/SUM(CA19,CC19,CE19)</f>
        <v>0.30860440963657421</v>
      </c>
      <c r="CI19" s="94">
        <f t="shared" ref="CI19" si="86">SUM(CA19,CC19,CE19)</f>
        <v>34.226617290767138</v>
      </c>
      <c r="CJ19" s="94">
        <f t="shared" ref="CJ19" si="87">SQRT(CI19^-1)</f>
        <v>0.17092988900741293</v>
      </c>
      <c r="CK19" s="28"/>
      <c r="CL19" s="97">
        <f t="shared" ref="CL19" si="88">Q19-CH19</f>
        <v>-3.8985945686725865E-4</v>
      </c>
      <c r="CM19" s="97">
        <f t="shared" ref="CM19" si="89">SQRT(W19^2-CJ19^2)</f>
        <v>0.10884170886035037</v>
      </c>
      <c r="CN19" s="100">
        <f t="shared" ref="CN19" si="90">ABS(CL19/CM19)</f>
        <v>3.5818939352327589E-3</v>
      </c>
      <c r="CO19" s="99">
        <f t="shared" ref="CO19" si="91">AN19-CH19</f>
        <v>-0.29092742599907534</v>
      </c>
      <c r="CP19" s="97">
        <f t="shared" ref="CP19" si="92">SQRT(AT19^2-CJ19^2)</f>
        <v>0.37780413404829699</v>
      </c>
      <c r="CQ19" s="100">
        <f t="shared" ref="CQ19" si="93">ABS(CO19/CP19)</f>
        <v>0.7700482863479845</v>
      </c>
      <c r="CR19" s="99">
        <f t="shared" ref="CR19" si="94">BN19-CH19</f>
        <v>0.41921008760090084</v>
      </c>
      <c r="CS19" s="97">
        <f t="shared" ref="CS19" si="95">SQRT(BT19^2-CJ19^2)</f>
        <v>0.46602034007393706</v>
      </c>
      <c r="CT19" s="100">
        <f t="shared" ref="CT19" si="96">ABS(CR19/CS19)</f>
        <v>0.89955319876036</v>
      </c>
      <c r="CU19" s="28"/>
    </row>
    <row r="20" spans="2:99" x14ac:dyDescent="0.3">
      <c r="B20" s="87">
        <v>45476.615532407406</v>
      </c>
      <c r="C20" s="12" t="s">
        <v>38</v>
      </c>
      <c r="D20" s="46"/>
      <c r="E20" s="10"/>
      <c r="F20" s="10">
        <v>63.350500000000004</v>
      </c>
      <c r="G20" s="10">
        <v>10615.15092876458</v>
      </c>
      <c r="H20" s="51">
        <v>0.60126921362238339</v>
      </c>
      <c r="I20" s="64">
        <v>101712.62771287015</v>
      </c>
      <c r="J20" s="42">
        <v>20.346933504708989</v>
      </c>
      <c r="K20" s="51"/>
      <c r="L20" s="51">
        <v>1.1679014955453912</v>
      </c>
      <c r="M20" s="42">
        <v>0.6031868978346937</v>
      </c>
      <c r="N20" s="42">
        <v>63.322200943573989</v>
      </c>
      <c r="O20" s="43">
        <f t="shared" si="14"/>
        <v>0.31893936507360898</v>
      </c>
      <c r="P20" s="6">
        <v>0.2</v>
      </c>
      <c r="Q20" s="101"/>
      <c r="R20" s="94"/>
      <c r="S20" s="94"/>
      <c r="T20" s="97"/>
      <c r="U20" s="97"/>
      <c r="V20" s="94"/>
      <c r="W20" s="94"/>
      <c r="X20" s="98"/>
      <c r="Z20" s="45">
        <f t="shared" si="15"/>
        <v>0.60126921362238339</v>
      </c>
      <c r="AA20" s="98"/>
      <c r="AC20" s="12" t="s">
        <v>38</v>
      </c>
      <c r="AD20" s="46"/>
      <c r="AE20" s="10"/>
      <c r="AF20" s="64">
        <v>303.03539999999998</v>
      </c>
      <c r="AG20" s="51">
        <v>0.60109894281072584</v>
      </c>
      <c r="AH20" s="42">
        <v>98966.617484105343</v>
      </c>
      <c r="AI20" s="42">
        <v>19.929500000000019</v>
      </c>
      <c r="AJ20" s="51">
        <v>1.1377314433856534</v>
      </c>
      <c r="AK20" s="42">
        <v>0.60195816774654531</v>
      </c>
      <c r="AL20" s="43">
        <f t="shared" si="16"/>
        <v>0.14294234686252344</v>
      </c>
      <c r="AM20" s="6">
        <v>0.1</v>
      </c>
      <c r="AN20" s="101"/>
      <c r="AO20" s="94"/>
      <c r="AP20" s="94"/>
      <c r="AQ20" s="97"/>
      <c r="AR20" s="97"/>
      <c r="AS20" s="94"/>
      <c r="AT20" s="94"/>
      <c r="AU20" s="98"/>
      <c r="AV20" s="48"/>
      <c r="AW20" s="80"/>
      <c r="AX20" s="98"/>
      <c r="AY20" s="45"/>
      <c r="AZ20" s="71" t="s">
        <v>38</v>
      </c>
      <c r="BA20" s="9" t="s">
        <v>89</v>
      </c>
      <c r="BB20" s="81" t="s">
        <v>87</v>
      </c>
      <c r="BC20" s="81">
        <v>52</v>
      </c>
      <c r="BD20" s="85">
        <v>1211.4001800000001</v>
      </c>
      <c r="BE20" s="43">
        <v>0.58230283173050168</v>
      </c>
      <c r="BF20" s="85">
        <f t="shared" si="68"/>
        <v>0.19594493199245541</v>
      </c>
      <c r="BG20" s="85">
        <v>1079347.6177438719</v>
      </c>
      <c r="BH20" s="85">
        <v>20.594757672564</v>
      </c>
      <c r="BI20" s="85">
        <v>12.4083337039</v>
      </c>
      <c r="BJ20" s="85">
        <v>0.58674292734947253</v>
      </c>
      <c r="BK20" s="85">
        <f t="shared" si="69"/>
        <v>0.19743902439024391</v>
      </c>
      <c r="BL20" s="43">
        <f t="shared" si="12"/>
        <v>0.76250627285732864</v>
      </c>
      <c r="BM20" s="9">
        <v>0.39</v>
      </c>
      <c r="BN20" s="101"/>
      <c r="BO20" s="94"/>
      <c r="BP20" s="94"/>
      <c r="BQ20" s="97"/>
      <c r="BR20" s="97"/>
      <c r="BS20" s="94"/>
      <c r="BT20" s="94"/>
      <c r="BU20" s="98"/>
      <c r="BV20" s="35"/>
      <c r="BW20" s="45"/>
      <c r="BX20" s="98"/>
      <c r="BY20" s="35"/>
      <c r="BZ20" s="94"/>
      <c r="CA20" s="94"/>
      <c r="CB20" s="94"/>
      <c r="CC20" s="94"/>
      <c r="CD20" s="94"/>
      <c r="CE20" s="94"/>
      <c r="CG20" s="98"/>
      <c r="CH20" s="94"/>
      <c r="CI20" s="94"/>
      <c r="CJ20" s="94"/>
      <c r="CK20" s="28"/>
      <c r="CL20" s="97"/>
      <c r="CM20" s="97"/>
      <c r="CN20" s="100"/>
      <c r="CO20" s="99"/>
      <c r="CP20" s="97"/>
      <c r="CQ20" s="100"/>
      <c r="CR20" s="99"/>
      <c r="CS20" s="97"/>
      <c r="CT20" s="100"/>
      <c r="CU20" s="28"/>
    </row>
    <row r="21" spans="2:99" x14ac:dyDescent="0.3">
      <c r="B21" s="87">
        <v>45476.616562499999</v>
      </c>
      <c r="C21" s="12" t="s">
        <v>38</v>
      </c>
      <c r="D21" s="46"/>
      <c r="E21" s="10"/>
      <c r="F21" s="10">
        <v>63.356500000000004</v>
      </c>
      <c r="G21" s="10">
        <v>10615.15092876458</v>
      </c>
      <c r="H21" s="51">
        <v>0.60123333238587218</v>
      </c>
      <c r="I21" s="64">
        <v>101722.49977906294</v>
      </c>
      <c r="J21" s="42">
        <v>20.346730572269024</v>
      </c>
      <c r="K21" s="51"/>
      <c r="L21" s="51">
        <v>1.168015687003277</v>
      </c>
      <c r="M21" s="42">
        <v>0.60310996275404649</v>
      </c>
      <c r="N21" s="42">
        <v>63.451600945502832</v>
      </c>
      <c r="O21" s="43">
        <f t="shared" si="14"/>
        <v>0.31213012770387977</v>
      </c>
      <c r="P21" s="6">
        <v>0.2</v>
      </c>
      <c r="Q21" s="101"/>
      <c r="R21" s="94"/>
      <c r="S21" s="94"/>
      <c r="T21" s="97"/>
      <c r="U21" s="97"/>
      <c r="V21" s="94"/>
      <c r="W21" s="94"/>
      <c r="X21" s="98"/>
      <c r="Z21" s="45">
        <f t="shared" si="15"/>
        <v>0.60123333238587218</v>
      </c>
      <c r="AA21" s="98"/>
      <c r="AC21" s="12" t="s">
        <v>38</v>
      </c>
      <c r="AD21" s="46"/>
      <c r="AE21" s="10"/>
      <c r="AF21" s="64">
        <v>304.08419999999995</v>
      </c>
      <c r="AG21" s="51">
        <v>0.60255604516488237</v>
      </c>
      <c r="AH21" s="42">
        <v>98878.876752600598</v>
      </c>
      <c r="AI21" s="42">
        <v>19.968500000000006</v>
      </c>
      <c r="AJ21" s="51">
        <v>1.136571522771773</v>
      </c>
      <c r="AK21" s="42">
        <v>0.60301013225460787</v>
      </c>
      <c r="AL21" s="43">
        <f t="shared" si="16"/>
        <v>7.5360141744365228E-2</v>
      </c>
      <c r="AM21" s="6">
        <v>0.1</v>
      </c>
      <c r="AN21" s="101"/>
      <c r="AO21" s="94"/>
      <c r="AP21" s="94"/>
      <c r="AQ21" s="97"/>
      <c r="AR21" s="97"/>
      <c r="AS21" s="94"/>
      <c r="AT21" s="94"/>
      <c r="AU21" s="98"/>
      <c r="AV21" s="48"/>
      <c r="AW21" s="80"/>
      <c r="AX21" s="98"/>
      <c r="AY21" s="45"/>
      <c r="AZ21" s="71" t="s">
        <v>38</v>
      </c>
      <c r="BA21" s="9" t="s">
        <v>90</v>
      </c>
      <c r="BB21" s="81" t="s">
        <v>87</v>
      </c>
      <c r="BC21" s="81">
        <v>53</v>
      </c>
      <c r="BD21" s="85">
        <v>1210.8233600000001</v>
      </c>
      <c r="BE21" s="43">
        <v>0.58312386156787643</v>
      </c>
      <c r="BF21" s="85">
        <f t="shared" si="68"/>
        <v>0.19612777593327529</v>
      </c>
      <c r="BG21" s="85">
        <v>1077740.020119661</v>
      </c>
      <c r="BH21" s="85">
        <v>20.808344486499301</v>
      </c>
      <c r="BI21" s="85">
        <v>12.3805561649</v>
      </c>
      <c r="BJ21" s="85">
        <v>0.58659942989779013</v>
      </c>
      <c r="BK21" s="85">
        <f t="shared" si="69"/>
        <v>0.19729674796747967</v>
      </c>
      <c r="BL21" s="43">
        <f t="shared" si="12"/>
        <v>0.59602574323897706</v>
      </c>
      <c r="BM21" s="9">
        <v>0.39</v>
      </c>
      <c r="BN21" s="101"/>
      <c r="BO21" s="94"/>
      <c r="BP21" s="94"/>
      <c r="BQ21" s="97"/>
      <c r="BR21" s="97"/>
      <c r="BS21" s="94"/>
      <c r="BT21" s="94"/>
      <c r="BU21" s="98"/>
      <c r="BV21" s="35"/>
      <c r="BW21" s="45"/>
      <c r="BX21" s="98"/>
      <c r="BY21" s="35"/>
      <c r="BZ21" s="94"/>
      <c r="CA21" s="94"/>
      <c r="CB21" s="94"/>
      <c r="CC21" s="94"/>
      <c r="CD21" s="94"/>
      <c r="CE21" s="94"/>
      <c r="CG21" s="98"/>
      <c r="CH21" s="94"/>
      <c r="CI21" s="94"/>
      <c r="CJ21" s="94"/>
      <c r="CK21" s="28"/>
      <c r="CL21" s="97"/>
      <c r="CM21" s="97"/>
      <c r="CN21" s="100"/>
      <c r="CO21" s="99"/>
      <c r="CP21" s="97"/>
      <c r="CQ21" s="100"/>
      <c r="CR21" s="99"/>
      <c r="CS21" s="97"/>
      <c r="CT21" s="100"/>
      <c r="CU21" s="28"/>
    </row>
    <row r="22" spans="2:99" x14ac:dyDescent="0.3">
      <c r="B22" s="87">
        <v>45476.606041666666</v>
      </c>
      <c r="C22" s="12" t="s">
        <v>38</v>
      </c>
      <c r="D22" s="46"/>
      <c r="E22" s="10"/>
      <c r="F22" s="10">
        <v>46.228499999999997</v>
      </c>
      <c r="G22" s="10">
        <v>13030.495810037697</v>
      </c>
      <c r="H22" s="51">
        <v>1.0091754582968151</v>
      </c>
      <c r="I22" s="64">
        <v>101967.05806760427</v>
      </c>
      <c r="J22" s="42">
        <v>20.358908379984758</v>
      </c>
      <c r="K22" s="51"/>
      <c r="L22" s="51">
        <v>1.170775757502232</v>
      </c>
      <c r="M22" s="42">
        <v>1.0128191256411112</v>
      </c>
      <c r="N22" s="42">
        <v>46.30880069005525</v>
      </c>
      <c r="O22" s="43">
        <f t="shared" si="14"/>
        <v>0.3610538994324658</v>
      </c>
      <c r="P22" s="6">
        <v>0.2</v>
      </c>
      <c r="Q22" s="101">
        <f t="shared" ref="Q22" si="97">AVERAGE(O22:O24)</f>
        <v>0.35578021225708606</v>
      </c>
      <c r="R22" s="94">
        <f t="shared" ref="R22" si="98">STDEV(O22:O24)</f>
        <v>6.0871216781674693E-3</v>
      </c>
      <c r="S22" s="94">
        <f t="shared" ref="S22" si="99">COUNT(P22:P24)</f>
        <v>3</v>
      </c>
      <c r="T22" s="97">
        <f t="shared" ref="T22" si="100">TINV(0.05,S22-1)</f>
        <v>4.3026527297494637</v>
      </c>
      <c r="U22" s="97">
        <f t="shared" ref="U22" si="101">R22*T22/SQRT(S22)</f>
        <v>1.5121248516748774E-2</v>
      </c>
      <c r="V22" s="94">
        <f t="shared" ref="V22" si="102">AVERAGE(P22:P24)</f>
        <v>0.20000000000000004</v>
      </c>
      <c r="W22" s="94">
        <f t="shared" ref="W22" si="103">SQRT(U22^2+V22^2)</f>
        <v>0.2005708158150265</v>
      </c>
      <c r="X22" s="98">
        <f t="shared" ref="X22" si="104">AVERAGE(H22:H24)</f>
        <v>1.0093249219969724</v>
      </c>
      <c r="Z22" s="45">
        <f t="shared" si="15"/>
        <v>1.0091754582968151</v>
      </c>
      <c r="AA22" s="98">
        <f t="shared" si="7"/>
        <v>1.0093249219969724</v>
      </c>
      <c r="AC22" s="12" t="s">
        <v>38</v>
      </c>
      <c r="AD22" s="46"/>
      <c r="AE22" s="10"/>
      <c r="AF22" s="64">
        <v>191.8878</v>
      </c>
      <c r="AG22" s="51">
        <v>1.0035476202178653</v>
      </c>
      <c r="AH22" s="42">
        <v>98883.425289855048</v>
      </c>
      <c r="AI22" s="42">
        <v>19.963999999999999</v>
      </c>
      <c r="AJ22" s="51">
        <v>1.1366412562040964</v>
      </c>
      <c r="AK22" s="42">
        <v>1.0078298042003662</v>
      </c>
      <c r="AL22" s="43">
        <f t="shared" si="16"/>
        <v>0.42670461234029605</v>
      </c>
      <c r="AM22" s="6">
        <v>0.1</v>
      </c>
      <c r="AN22" s="101">
        <f>AVERAGE(AL22:AL24)</f>
        <v>0.21187598477819822</v>
      </c>
      <c r="AO22" s="94">
        <f>STDEV(AL22:AL24)</f>
        <v>0.19051780840291752</v>
      </c>
      <c r="AP22" s="94">
        <f>COUNT(AM22:AM24)</f>
        <v>3</v>
      </c>
      <c r="AQ22" s="97">
        <f t="shared" ref="AQ22" si="105">TINV(0.05,AP22-1)</f>
        <v>4.3026527297494637</v>
      </c>
      <c r="AR22" s="97">
        <f t="shared" ref="AR22" si="106">AO22*AQ22/SQRT(AP22)</f>
        <v>0.47327247261371153</v>
      </c>
      <c r="AS22" s="94">
        <f>AVERAGE(AM22:AM24)</f>
        <v>0.10000000000000002</v>
      </c>
      <c r="AT22" s="94">
        <f t="shared" ref="AT22" si="107">SQRT(AR22^2+AS22^2)</f>
        <v>0.48372185534033535</v>
      </c>
      <c r="AU22" s="98">
        <f>AVERAGE(AG22:AG24)</f>
        <v>1.0044766413317257</v>
      </c>
      <c r="AV22" s="48"/>
      <c r="AW22" s="80"/>
      <c r="AX22" s="98">
        <f t="shared" ref="AX22" si="108">AVERAGE(AG22:AG24)</f>
        <v>1.0044766413317257</v>
      </c>
      <c r="AY22" s="45"/>
      <c r="AZ22" s="71" t="s">
        <v>38</v>
      </c>
      <c r="BA22" s="9" t="s">
        <v>84</v>
      </c>
      <c r="BB22" s="81" t="s">
        <v>87</v>
      </c>
      <c r="BC22" s="81">
        <v>36</v>
      </c>
      <c r="BD22" s="85">
        <v>801.04390999999998</v>
      </c>
      <c r="BE22" s="43">
        <v>0.91347359370182879</v>
      </c>
      <c r="BF22" s="85">
        <f t="shared" ref="BF22:BF24" si="109">BE22/3600*BD22</f>
        <v>0.2032590164390734</v>
      </c>
      <c r="BG22" s="85">
        <v>1141952.00718064</v>
      </c>
      <c r="BH22" s="85">
        <v>20.004052642192399</v>
      </c>
      <c r="BI22" s="85">
        <v>13.1568026365</v>
      </c>
      <c r="BJ22" s="85">
        <v>0.91846613916217557</v>
      </c>
      <c r="BK22" s="85">
        <f t="shared" ref="BK22:BK24" si="110">BJ22/3600*BD22</f>
        <v>0.204369918699187</v>
      </c>
      <c r="BL22" s="43">
        <f t="shared" si="12"/>
        <v>0.54654513220405432</v>
      </c>
      <c r="BM22" s="9">
        <v>0.39</v>
      </c>
      <c r="BN22" s="101">
        <f t="shared" ref="BN22" si="111">AVERAGE(BL22:BL24)</f>
        <v>0.37484665763125241</v>
      </c>
      <c r="BO22" s="94">
        <f t="shared" ref="BO22" si="112">STDEV(BL22:BL24)</f>
        <v>0.15859955545135077</v>
      </c>
      <c r="BP22" s="94">
        <f t="shared" ref="BP22" si="113">COUNT(BM22:BM24)</f>
        <v>3</v>
      </c>
      <c r="BQ22" s="97">
        <f t="shared" ref="BQ22" si="114">TINV(0.05,BP22-1)</f>
        <v>4.3026527297494637</v>
      </c>
      <c r="BR22" s="97">
        <f t="shared" ref="BR22" si="115">BO22*BQ22/SQRT(BP22)</f>
        <v>0.39398313676353819</v>
      </c>
      <c r="BS22" s="94">
        <v>0.4</v>
      </c>
      <c r="BT22" s="94">
        <f t="shared" ref="BT22" si="116">SQRT(BR22^2+BS22^2)</f>
        <v>0.56144698062598652</v>
      </c>
      <c r="BU22" s="98">
        <f t="shared" ref="BU22" si="117">AVERAGE(BF22:BF24)</f>
        <v>0.20347867054284138</v>
      </c>
      <c r="BV22" s="34"/>
      <c r="BW22" s="45"/>
      <c r="BX22" s="98">
        <f t="shared" ref="BX22" si="118">AVERAGE(BE22:BE24)</f>
        <v>0.91337841655386887</v>
      </c>
      <c r="BY22" s="34"/>
      <c r="BZ22" s="94">
        <f t="shared" ref="BZ22" si="119">Q22*CA22</f>
        <v>8.8439505969822765</v>
      </c>
      <c r="CA22" s="94">
        <f t="shared" ref="CA22" si="120">1/W22^2</f>
        <v>24.857904662195367</v>
      </c>
      <c r="CB22" s="94">
        <f t="shared" ref="CB22" si="121">AN22*CC22</f>
        <v>0.90550387711711045</v>
      </c>
      <c r="CC22" s="94">
        <f t="shared" ref="CC22" si="122">1/AT22^2</f>
        <v>4.2737447477354955</v>
      </c>
      <c r="CD22" s="94">
        <f t="shared" ref="CD22" si="123">BN22*CE22</f>
        <v>1.1891486345913884</v>
      </c>
      <c r="CE22" s="94">
        <f t="shared" ref="CE22" si="124">1/BT22^2</f>
        <v>3.172360244868953</v>
      </c>
      <c r="CG22" s="98">
        <f t="shared" ref="CG22" si="125">AVERAGE(AA22,AX22,BX22)</f>
        <v>0.97572665996085572</v>
      </c>
      <c r="CH22" s="94">
        <f t="shared" ref="CH22" si="126">SUM(BZ22,CB22,CD22)/SUM(CA22,CC22,CE22)</f>
        <v>0.33861440810538795</v>
      </c>
      <c r="CI22" s="94">
        <f t="shared" ref="CI22" si="127">SUM(CA22,CC22,CE22)</f>
        <v>32.304009654799813</v>
      </c>
      <c r="CJ22" s="94">
        <f t="shared" ref="CJ22" si="128">SQRT(CI22^-1)</f>
        <v>0.17594291551459934</v>
      </c>
      <c r="CL22" s="97">
        <f t="shared" ref="CL22" si="129">Q22-CH22</f>
        <v>1.7165804151698105E-2</v>
      </c>
      <c r="CM22" s="97">
        <f t="shared" ref="CM22" si="130">SQRT(W22^2-CJ22^2)</f>
        <v>9.6295081062990145E-2</v>
      </c>
      <c r="CN22" s="100">
        <f t="shared" ref="CN22" si="131">ABS(CL22/CM22)</f>
        <v>0.17826252350802138</v>
      </c>
      <c r="CO22" s="99">
        <f t="shared" ref="CO22" si="132">AN22-CH22</f>
        <v>-0.12673842332718974</v>
      </c>
      <c r="CP22" s="97">
        <f t="shared" ref="CP22" si="133">SQRT(AT22^2-CJ22^2)</f>
        <v>0.45058952918828338</v>
      </c>
      <c r="CQ22" s="100">
        <f t="shared" ref="CQ22" si="134">ABS(CO22/CP22)</f>
        <v>0.28127245556616298</v>
      </c>
      <c r="CR22" s="99">
        <f t="shared" ref="CR22" si="135">BN22-CH22</f>
        <v>3.6232249525864457E-2</v>
      </c>
      <c r="CS22" s="97">
        <f t="shared" ref="CS22" si="136">SQRT(BT22^2-CJ22^2)</f>
        <v>0.53316676803253549</v>
      </c>
      <c r="CT22" s="100">
        <f t="shared" ref="CT22" si="137">ABS(CR22/CS22)</f>
        <v>6.795669141114484E-2</v>
      </c>
    </row>
    <row r="23" spans="2:99" x14ac:dyDescent="0.3">
      <c r="B23" s="87">
        <v>45476.60696759259</v>
      </c>
      <c r="C23" s="12" t="s">
        <v>38</v>
      </c>
      <c r="D23" s="46"/>
      <c r="E23" s="10"/>
      <c r="F23" s="10">
        <v>46.222499999999997</v>
      </c>
      <c r="G23" s="10">
        <v>13030.495810037697</v>
      </c>
      <c r="H23" s="51">
        <v>1.0093008808751966</v>
      </c>
      <c r="I23" s="64">
        <v>101964.98768112641</v>
      </c>
      <c r="J23" s="42">
        <v>20.357119490423646</v>
      </c>
      <c r="K23" s="51"/>
      <c r="L23" s="51">
        <v>1.1707591347805619</v>
      </c>
      <c r="M23" s="42">
        <v>1.0129057763325668</v>
      </c>
      <c r="N23" s="42">
        <v>46.232600688918865</v>
      </c>
      <c r="O23" s="43">
        <f t="shared" si="14"/>
        <v>0.35716757269093785</v>
      </c>
      <c r="P23" s="6">
        <v>0.2</v>
      </c>
      <c r="Q23" s="101"/>
      <c r="R23" s="94"/>
      <c r="S23" s="94"/>
      <c r="T23" s="97"/>
      <c r="U23" s="97"/>
      <c r="V23" s="94"/>
      <c r="W23" s="94"/>
      <c r="X23" s="98"/>
      <c r="Z23" s="45">
        <f t="shared" si="15"/>
        <v>1.0093008808751966</v>
      </c>
      <c r="AA23" s="98"/>
      <c r="AC23" s="12" t="s">
        <v>38</v>
      </c>
      <c r="AD23" s="46"/>
      <c r="AE23" s="10"/>
      <c r="AF23" s="64">
        <v>186.64499999999998</v>
      </c>
      <c r="AG23" s="51">
        <v>1.0037481873847727</v>
      </c>
      <c r="AH23" s="42">
        <v>98846.024538063546</v>
      </c>
      <c r="AI23" s="42">
        <v>19.824000000000012</v>
      </c>
      <c r="AJ23" s="51">
        <v>1.1367542913306803</v>
      </c>
      <c r="AK23" s="42">
        <v>1.0043848730699796</v>
      </c>
      <c r="AL23" s="43">
        <f t="shared" si="16"/>
        <v>6.3430817929123945E-2</v>
      </c>
      <c r="AM23" s="6">
        <v>0.1</v>
      </c>
      <c r="AN23" s="101"/>
      <c r="AO23" s="94"/>
      <c r="AP23" s="94"/>
      <c r="AQ23" s="97"/>
      <c r="AR23" s="97"/>
      <c r="AS23" s="94"/>
      <c r="AT23" s="94"/>
      <c r="AU23" s="98"/>
      <c r="AV23" s="48"/>
      <c r="AW23" s="80"/>
      <c r="AX23" s="98"/>
      <c r="AY23" s="45"/>
      <c r="AZ23" s="71" t="s">
        <v>38</v>
      </c>
      <c r="BA23" s="9" t="s">
        <v>85</v>
      </c>
      <c r="BB23" s="81" t="s">
        <v>87</v>
      </c>
      <c r="BC23" s="81">
        <v>37</v>
      </c>
      <c r="BD23" s="85">
        <v>802.11685</v>
      </c>
      <c r="BE23" s="43">
        <v>0.91345521200896485</v>
      </c>
      <c r="BF23" s="85">
        <f t="shared" si="109"/>
        <v>0.2035271714646425</v>
      </c>
      <c r="BG23" s="85">
        <v>1141189.4583780398</v>
      </c>
      <c r="BH23" s="85">
        <v>20.127501361999901</v>
      </c>
      <c r="BI23" s="85">
        <v>13.142293087800001</v>
      </c>
      <c r="BJ23" s="85">
        <v>0.91659901197078941</v>
      </c>
      <c r="BK23" s="85">
        <f t="shared" si="110"/>
        <v>0.20422764227642273</v>
      </c>
      <c r="BL23" s="43">
        <f t="shared" si="12"/>
        <v>0.34416574786522958</v>
      </c>
      <c r="BM23" s="9">
        <v>0.39</v>
      </c>
      <c r="BN23" s="101"/>
      <c r="BO23" s="94"/>
      <c r="BP23" s="94"/>
      <c r="BQ23" s="97"/>
      <c r="BR23" s="97"/>
      <c r="BS23" s="94"/>
      <c r="BT23" s="94"/>
      <c r="BU23" s="98"/>
      <c r="BV23" s="29"/>
      <c r="BW23" s="45"/>
      <c r="BX23" s="98"/>
      <c r="BY23" s="29"/>
      <c r="BZ23" s="94"/>
      <c r="CA23" s="94"/>
      <c r="CB23" s="94"/>
      <c r="CC23" s="94"/>
      <c r="CD23" s="94"/>
      <c r="CE23" s="94"/>
      <c r="CG23" s="98"/>
      <c r="CH23" s="94"/>
      <c r="CI23" s="94"/>
      <c r="CJ23" s="94"/>
      <c r="CL23" s="97"/>
      <c r="CM23" s="97"/>
      <c r="CN23" s="100"/>
      <c r="CO23" s="99"/>
      <c r="CP23" s="97"/>
      <c r="CQ23" s="100"/>
      <c r="CR23" s="99"/>
      <c r="CS23" s="97"/>
      <c r="CT23" s="100"/>
    </row>
    <row r="24" spans="2:99" x14ac:dyDescent="0.3">
      <c r="B24" s="87">
        <v>45476.607997685183</v>
      </c>
      <c r="C24" s="12" t="s">
        <v>38</v>
      </c>
      <c r="D24" s="46"/>
      <c r="E24" s="10"/>
      <c r="F24" s="10">
        <v>46.216499999999996</v>
      </c>
      <c r="G24" s="10">
        <v>13030.495810037697</v>
      </c>
      <c r="H24" s="51">
        <v>1.0094984268189056</v>
      </c>
      <c r="I24" s="64">
        <v>101960.00713453125</v>
      </c>
      <c r="J24" s="42">
        <v>20.356590562980038</v>
      </c>
      <c r="K24" s="51"/>
      <c r="L24" s="51">
        <v>1.1707040500691226</v>
      </c>
      <c r="M24" s="42">
        <v>1.013022779293749</v>
      </c>
      <c r="N24" s="42">
        <v>46.082800686687733</v>
      </c>
      <c r="O24" s="43">
        <f t="shared" si="14"/>
        <v>0.34911916464785442</v>
      </c>
      <c r="P24" s="6">
        <v>0.2</v>
      </c>
      <c r="Q24" s="101"/>
      <c r="R24" s="94"/>
      <c r="S24" s="94"/>
      <c r="T24" s="97"/>
      <c r="U24" s="97"/>
      <c r="V24" s="94"/>
      <c r="W24" s="94"/>
      <c r="X24" s="98"/>
      <c r="Z24" s="45">
        <f t="shared" si="15"/>
        <v>1.0094984268189056</v>
      </c>
      <c r="AA24" s="98"/>
      <c r="AC24" s="12" t="s">
        <v>38</v>
      </c>
      <c r="AD24" s="46"/>
      <c r="AE24" s="10"/>
      <c r="AF24" s="64">
        <v>181.40219999999999</v>
      </c>
      <c r="AG24" s="51">
        <v>1.0061341163925386</v>
      </c>
      <c r="AH24" s="42">
        <v>98965.4422018349</v>
      </c>
      <c r="AI24" s="42">
        <v>19.924500000000023</v>
      </c>
      <c r="AJ24" s="51">
        <v>1.1377373422540213</v>
      </c>
      <c r="AK24" s="42">
        <v>1.0075979663139589</v>
      </c>
      <c r="AL24" s="43">
        <f t="shared" si="16"/>
        <v>0.1454925240651746</v>
      </c>
      <c r="AM24" s="6">
        <v>0.1</v>
      </c>
      <c r="AN24" s="101"/>
      <c r="AO24" s="94"/>
      <c r="AP24" s="94"/>
      <c r="AQ24" s="97"/>
      <c r="AR24" s="97"/>
      <c r="AS24" s="94"/>
      <c r="AT24" s="94"/>
      <c r="AU24" s="98"/>
      <c r="AV24" s="48"/>
      <c r="AW24" s="80"/>
      <c r="AX24" s="98"/>
      <c r="AY24" s="45"/>
      <c r="AZ24" s="71" t="s">
        <v>38</v>
      </c>
      <c r="BA24" s="9" t="s">
        <v>86</v>
      </c>
      <c r="BB24" s="81" t="s">
        <v>87</v>
      </c>
      <c r="BC24" s="81">
        <v>38</v>
      </c>
      <c r="BD24" s="85">
        <v>802.81886999999995</v>
      </c>
      <c r="BE24" s="43">
        <v>0.91320644395081252</v>
      </c>
      <c r="BF24" s="85">
        <f t="shared" si="109"/>
        <v>0.20364982372480822</v>
      </c>
      <c r="BG24" s="85">
        <v>1140759.5630964502</v>
      </c>
      <c r="BH24" s="85">
        <v>20.1397428494761</v>
      </c>
      <c r="BI24" s="85">
        <v>13.1367773877</v>
      </c>
      <c r="BJ24" s="85">
        <v>0.91534178629431739</v>
      </c>
      <c r="BK24" s="85">
        <f t="shared" si="110"/>
        <v>0.20412601626016258</v>
      </c>
      <c r="BL24" s="43">
        <f t="shared" si="12"/>
        <v>0.23382909282447345</v>
      </c>
      <c r="BM24" s="9">
        <v>0.39</v>
      </c>
      <c r="BN24" s="101"/>
      <c r="BO24" s="94"/>
      <c r="BP24" s="94"/>
      <c r="BQ24" s="97"/>
      <c r="BR24" s="97"/>
      <c r="BS24" s="94"/>
      <c r="BT24" s="94"/>
      <c r="BU24" s="98"/>
      <c r="BV24" s="29"/>
      <c r="BW24" s="45"/>
      <c r="BX24" s="98"/>
      <c r="BY24" s="29"/>
      <c r="BZ24" s="94"/>
      <c r="CA24" s="94"/>
      <c r="CB24" s="94"/>
      <c r="CC24" s="94"/>
      <c r="CD24" s="94"/>
      <c r="CE24" s="94"/>
      <c r="CG24" s="98"/>
      <c r="CH24" s="94"/>
      <c r="CI24" s="94"/>
      <c r="CJ24" s="94"/>
      <c r="CL24" s="97"/>
      <c r="CM24" s="97"/>
      <c r="CN24" s="100"/>
      <c r="CO24" s="99"/>
      <c r="CP24" s="97"/>
      <c r="CQ24" s="100"/>
      <c r="CR24" s="99"/>
      <c r="CS24" s="97"/>
      <c r="CT24" s="100"/>
    </row>
    <row r="25" spans="2:99" x14ac:dyDescent="0.3">
      <c r="B25" s="87">
        <v>45476.600034722222</v>
      </c>
      <c r="C25" s="12" t="s">
        <v>38</v>
      </c>
      <c r="D25" s="46"/>
      <c r="E25" s="10"/>
      <c r="F25" s="10">
        <v>20.706</v>
      </c>
      <c r="G25" s="10">
        <v>13030.495810037697</v>
      </c>
      <c r="H25" s="51">
        <v>2.2251611559605204</v>
      </c>
      <c r="I25" s="64">
        <v>103275.30245634909</v>
      </c>
      <c r="J25" s="42">
        <v>20.369525875150689</v>
      </c>
      <c r="K25" s="51"/>
      <c r="L25" s="51">
        <v>1.1857575107773826</v>
      </c>
      <c r="M25" s="42">
        <v>2.2344410432615485</v>
      </c>
      <c r="N25" s="42">
        <v>20.794200309856933</v>
      </c>
      <c r="O25" s="43">
        <f t="shared" si="14"/>
        <v>0.41704338025900128</v>
      </c>
      <c r="P25" s="6">
        <v>0.2</v>
      </c>
      <c r="Q25" s="101">
        <f t="shared" ref="Q25" si="138">AVERAGE(O25:O27)</f>
        <v>0.41786027909398582</v>
      </c>
      <c r="R25" s="94">
        <f t="shared" ref="R25" si="139">STDEV(O25:O27)</f>
        <v>1.7766701330203204E-3</v>
      </c>
      <c r="S25" s="94">
        <f t="shared" ref="S25" si="140">COUNT(P25:P27)</f>
        <v>3</v>
      </c>
      <c r="T25" s="97">
        <f t="shared" ref="T25" si="141">TINV(0.05,S25-1)</f>
        <v>4.3026527297494637</v>
      </c>
      <c r="U25" s="97">
        <f t="shared" ref="U25" si="142">R25*T25/SQRT(S25)</f>
        <v>4.4134932787762548E-3</v>
      </c>
      <c r="V25" s="94">
        <f t="shared" ref="V25" si="143">AVERAGE(P25:P27)</f>
        <v>0.20000000000000004</v>
      </c>
      <c r="W25" s="94">
        <f t="shared" ref="W25" si="144">SQRT(U25^2+V25^2)</f>
        <v>0.20004869138017828</v>
      </c>
      <c r="X25" s="98">
        <f t="shared" ref="X25" si="145">AVERAGE(H25:H27)</f>
        <v>2.225212455708538</v>
      </c>
      <c r="Z25" s="45">
        <f t="shared" si="15"/>
        <v>2.2251611559605204</v>
      </c>
      <c r="AA25" s="98">
        <f t="shared" si="7"/>
        <v>2.225212455708538</v>
      </c>
      <c r="AC25" s="12" t="s">
        <v>38</v>
      </c>
      <c r="AD25" s="46"/>
      <c r="AE25" s="10"/>
      <c r="AF25" s="64">
        <v>174.06180000000001</v>
      </c>
      <c r="AG25" s="51">
        <v>2.1944463868676363</v>
      </c>
      <c r="AH25" s="42">
        <v>98852.19473684211</v>
      </c>
      <c r="AI25" s="42">
        <v>19.821000000000026</v>
      </c>
      <c r="AJ25" s="51">
        <v>1.1368368911789215</v>
      </c>
      <c r="AK25" s="42">
        <v>2.1960240698362554</v>
      </c>
      <c r="AL25" s="43">
        <f t="shared" si="16"/>
        <v>7.1894350122225892E-2</v>
      </c>
      <c r="AM25" s="6">
        <v>0.1</v>
      </c>
      <c r="AN25" s="101">
        <f>AVERAGE(AL25:AL27)</f>
        <v>0.10874535923112832</v>
      </c>
      <c r="AO25" s="94">
        <f>STDEV(AL25:AL27)</f>
        <v>3.1974649030015866E-2</v>
      </c>
      <c r="AP25" s="94">
        <f>COUNT(AM25:AM27)</f>
        <v>3</v>
      </c>
      <c r="AQ25" s="97">
        <f t="shared" ref="AQ25" si="146">TINV(0.05,AP25-1)</f>
        <v>4.3026527297494637</v>
      </c>
      <c r="AR25" s="97">
        <f t="shared" ref="AR25" si="147">AO25*AQ25/SQRT(AP25)</f>
        <v>7.9429431475443568E-2</v>
      </c>
      <c r="AS25" s="94">
        <f>AVERAGE(AM25:AM27)</f>
        <v>0.10000000000000002</v>
      </c>
      <c r="AT25" s="94">
        <f t="shared" ref="AT25" si="148">SQRT(AR25^2+AS25^2)</f>
        <v>0.12770683061023866</v>
      </c>
      <c r="AU25" s="98">
        <f>AVERAGE(AG25:AG27)</f>
        <v>2.197276697598229</v>
      </c>
      <c r="AV25" s="48"/>
      <c r="AW25" s="80"/>
      <c r="AX25" s="98">
        <f t="shared" ref="AX25" si="149">AVERAGE(AG25:AG27)</f>
        <v>2.197276697598229</v>
      </c>
      <c r="AY25" s="45"/>
      <c r="AZ25" s="71" t="s">
        <v>38</v>
      </c>
      <c r="BA25" s="9" t="s">
        <v>81</v>
      </c>
      <c r="BB25" s="82" t="s">
        <v>80</v>
      </c>
      <c r="BC25" s="81">
        <v>28</v>
      </c>
      <c r="BD25" s="85">
        <v>334.28645999999998</v>
      </c>
      <c r="BE25" s="43">
        <v>2.2083958584641867</v>
      </c>
      <c r="BF25" s="85">
        <f t="shared" ref="BF25:BF27" si="150">BE25/3600*BD25</f>
        <v>0.20506578716795945</v>
      </c>
      <c r="BG25" s="85">
        <v>641991.70354015206</v>
      </c>
      <c r="BH25" s="85">
        <v>20.053809626843499</v>
      </c>
      <c r="BI25" s="85">
        <v>7.3879231871100002</v>
      </c>
      <c r="BJ25" s="85">
        <v>2.2125028818025143</v>
      </c>
      <c r="BK25" s="85">
        <f t="shared" ref="BK25:BK27" si="151">BJ25/3600*BD25</f>
        <v>0.20544715447154471</v>
      </c>
      <c r="BL25" s="43">
        <f t="shared" si="12"/>
        <v>0.18597314981309004</v>
      </c>
      <c r="BM25" s="9">
        <v>0.39</v>
      </c>
      <c r="BN25" s="101">
        <f t="shared" ref="BN25" si="152">AVERAGE(BL25:BL27)</f>
        <v>0.18597248680655462</v>
      </c>
      <c r="BO25" s="94">
        <f t="shared" ref="BO25" si="153">STDEV(BL25:BL27)</f>
        <v>5.9110030660781852E-3</v>
      </c>
      <c r="BP25" s="94">
        <f t="shared" ref="BP25" si="154">COUNT(BM25:BM27)</f>
        <v>3</v>
      </c>
      <c r="BQ25" s="97">
        <f t="shared" ref="BQ25" si="155">TINV(0.05,BP25-1)</f>
        <v>4.3026527297494637</v>
      </c>
      <c r="BR25" s="97">
        <f t="shared" ref="BR25" si="156">BO25*BQ25/SQRT(BP25)</f>
        <v>1.4683745630716656E-2</v>
      </c>
      <c r="BS25" s="94">
        <v>0.4</v>
      </c>
      <c r="BT25" s="94">
        <f t="shared" ref="BT25" si="157">SQRT(BR25^2+BS25^2)</f>
        <v>0.40026942474506794</v>
      </c>
      <c r="BU25" s="98">
        <f t="shared" ref="BU25" si="158">AVERAGE(BF25:BF27)</f>
        <v>0.20465324231206508</v>
      </c>
      <c r="BV25" s="29"/>
      <c r="BW25" s="45"/>
      <c r="BX25" s="98">
        <f t="shared" ref="BX25" si="159">AVERAGE(BE25:BE27)</f>
        <v>2.2084575724429616</v>
      </c>
      <c r="BY25" s="29"/>
      <c r="BZ25" s="94">
        <f t="shared" ref="BZ25" si="160">Q25*CA25</f>
        <v>10.441422285852139</v>
      </c>
      <c r="CA25" s="94">
        <f t="shared" ref="CA25" si="161">1/W25^2</f>
        <v>24.987831598857564</v>
      </c>
      <c r="CB25" s="94">
        <f t="shared" ref="CB25" si="162">AN25*CC25</f>
        <v>6.6677986773293085</v>
      </c>
      <c r="CC25" s="94">
        <f t="shared" ref="CC25" si="163">1/AT25^2</f>
        <v>61.315707856162504</v>
      </c>
      <c r="CD25" s="94">
        <f t="shared" ref="CD25" si="164">BN25*CE25</f>
        <v>1.1607638234330919</v>
      </c>
      <c r="CE25" s="94">
        <f t="shared" ref="CE25" si="165">1/BT25^2</f>
        <v>6.2415889756880993</v>
      </c>
      <c r="CG25" s="98">
        <f t="shared" ref="CG25" si="166">AVERAGE(AA25,AX25,BX25)</f>
        <v>2.2103155752499095</v>
      </c>
      <c r="CH25" s="94">
        <f t="shared" ref="CH25" si="167">SUM(BZ25,CB25,CD25)/SUM(CA25,CC25,CE25)</f>
        <v>0.19741703422340517</v>
      </c>
      <c r="CI25" s="94">
        <f t="shared" ref="CI25" si="168">SUM(CA25,CC25,CE25)</f>
        <v>92.545128430708175</v>
      </c>
      <c r="CJ25" s="94">
        <f t="shared" ref="CJ25" si="169">SQRT(CI25^-1)</f>
        <v>0.1039496948491706</v>
      </c>
      <c r="CL25" s="97">
        <f t="shared" ref="CL25" si="170">Q25-CH25</f>
        <v>0.22044324487058065</v>
      </c>
      <c r="CM25" s="97">
        <f t="shared" ref="CM25" si="171">SQRT(W25^2-CJ25^2)</f>
        <v>0.17092085848042693</v>
      </c>
      <c r="CN25" s="100">
        <f t="shared" ref="CN25" si="172">ABS(CL25/CM25)</f>
        <v>1.2897386944486053</v>
      </c>
      <c r="CO25" s="99">
        <f t="shared" ref="CO25" si="173">AN25-CH25</f>
        <v>-8.867167499227685E-2</v>
      </c>
      <c r="CP25" s="97">
        <f t="shared" ref="CP25" si="174">SQRT(AT25^2-CJ25^2)</f>
        <v>7.4185547954278147E-2</v>
      </c>
      <c r="CQ25" s="100">
        <f t="shared" ref="CQ25" si="175">ABS(CO25/CP25)</f>
        <v>1.195268855423522</v>
      </c>
      <c r="CR25" s="99">
        <f t="shared" ref="CR25" si="176">BN25-CH25</f>
        <v>-1.1444547416850553E-2</v>
      </c>
      <c r="CS25" s="97">
        <f t="shared" ref="CS25" si="177">SQRT(BT25^2-CJ25^2)</f>
        <v>0.38653599227822488</v>
      </c>
      <c r="CT25" s="100">
        <f t="shared" ref="CT25" si="178">ABS(CR25/CS25)</f>
        <v>2.9607973501760941E-2</v>
      </c>
    </row>
    <row r="26" spans="2:99" x14ac:dyDescent="0.3">
      <c r="B26" s="87">
        <v>45476.600648148145</v>
      </c>
      <c r="C26" s="12" t="s">
        <v>38</v>
      </c>
      <c r="D26" s="46"/>
      <c r="E26" s="10"/>
      <c r="F26" s="10">
        <v>20.704999999999998</v>
      </c>
      <c r="G26" s="10">
        <v>13030.495810037697</v>
      </c>
      <c r="H26" s="51">
        <v>2.2252499057017174</v>
      </c>
      <c r="I26" s="64">
        <v>103273.10622757496</v>
      </c>
      <c r="J26" s="42">
        <v>20.36950222050509</v>
      </c>
      <c r="K26" s="51"/>
      <c r="L26" s="51">
        <v>1.185732384459127</v>
      </c>
      <c r="M26" s="42">
        <v>2.2345211643220795</v>
      </c>
      <c r="N26" s="42">
        <v>20.826200310334571</v>
      </c>
      <c r="O26" s="43">
        <f t="shared" si="14"/>
        <v>0.41663898497901136</v>
      </c>
      <c r="P26" s="6">
        <v>0.2</v>
      </c>
      <c r="Q26" s="101"/>
      <c r="R26" s="94"/>
      <c r="S26" s="94"/>
      <c r="T26" s="97"/>
      <c r="U26" s="97"/>
      <c r="V26" s="94"/>
      <c r="W26" s="94"/>
      <c r="X26" s="98"/>
      <c r="Z26" s="45">
        <f t="shared" si="15"/>
        <v>2.2252499057017174</v>
      </c>
      <c r="AA26" s="98"/>
      <c r="AC26" s="12" t="s">
        <v>38</v>
      </c>
      <c r="AD26" s="46"/>
      <c r="AE26" s="10"/>
      <c r="AF26" s="64">
        <v>166.72200000000001</v>
      </c>
      <c r="AG26" s="51">
        <v>2.1982243948292508</v>
      </c>
      <c r="AH26" s="42">
        <v>98962.921862011601</v>
      </c>
      <c r="AI26" s="42">
        <v>19.916499999999985</v>
      </c>
      <c r="AJ26" s="51">
        <v>1.1377394243086514</v>
      </c>
      <c r="AK26" s="42">
        <v>2.2009765928443463</v>
      </c>
      <c r="AL26" s="43">
        <f t="shared" si="16"/>
        <v>0.12520095862685116</v>
      </c>
      <c r="AM26" s="6">
        <v>0.1</v>
      </c>
      <c r="AN26" s="101"/>
      <c r="AO26" s="94"/>
      <c r="AP26" s="94"/>
      <c r="AQ26" s="97"/>
      <c r="AR26" s="97"/>
      <c r="AS26" s="94"/>
      <c r="AT26" s="94"/>
      <c r="AU26" s="98"/>
      <c r="AV26" s="48"/>
      <c r="AW26" s="80"/>
      <c r="AX26" s="98"/>
      <c r="AY26" s="45"/>
      <c r="AZ26" s="71" t="s">
        <v>38</v>
      </c>
      <c r="BA26" s="9" t="s">
        <v>82</v>
      </c>
      <c r="BB26" s="82" t="s">
        <v>80</v>
      </c>
      <c r="BC26" s="81">
        <v>29</v>
      </c>
      <c r="BD26" s="85">
        <v>331.85307</v>
      </c>
      <c r="BE26" s="43">
        <v>2.2084336838741891</v>
      </c>
      <c r="BF26" s="85">
        <f t="shared" si="150"/>
        <v>0.2035765271902942</v>
      </c>
      <c r="BG26" s="85">
        <v>641230.09377173311</v>
      </c>
      <c r="BH26" s="85">
        <v>20.0666843744998</v>
      </c>
      <c r="BI26" s="85">
        <v>7.3788129547199999</v>
      </c>
      <c r="BJ26" s="85">
        <v>2.2124102150123832</v>
      </c>
      <c r="BK26" s="85">
        <f t="shared" si="151"/>
        <v>0.20394308943089431</v>
      </c>
      <c r="BL26" s="43">
        <f t="shared" si="12"/>
        <v>0.18006115226509595</v>
      </c>
      <c r="BM26" s="9">
        <v>0.39</v>
      </c>
      <c r="BN26" s="101"/>
      <c r="BO26" s="94"/>
      <c r="BP26" s="94"/>
      <c r="BQ26" s="97"/>
      <c r="BR26" s="97"/>
      <c r="BS26" s="94"/>
      <c r="BT26" s="94"/>
      <c r="BU26" s="98"/>
      <c r="BV26" s="29"/>
      <c r="BW26" s="45"/>
      <c r="BX26" s="98"/>
      <c r="BY26" s="29"/>
      <c r="BZ26" s="94"/>
      <c r="CA26" s="94"/>
      <c r="CB26" s="94"/>
      <c r="CC26" s="94"/>
      <c r="CD26" s="94"/>
      <c r="CE26" s="94"/>
      <c r="CG26" s="98"/>
      <c r="CH26" s="94"/>
      <c r="CI26" s="94"/>
      <c r="CJ26" s="94"/>
      <c r="CL26" s="97"/>
      <c r="CM26" s="97"/>
      <c r="CN26" s="100"/>
      <c r="CO26" s="99"/>
      <c r="CP26" s="97"/>
      <c r="CQ26" s="100"/>
      <c r="CR26" s="99"/>
      <c r="CS26" s="97"/>
      <c r="CT26" s="100"/>
    </row>
    <row r="27" spans="2:99" x14ac:dyDescent="0.3">
      <c r="B27" s="87">
        <v>45476.601284722223</v>
      </c>
      <c r="C27" s="12" t="s">
        <v>38</v>
      </c>
      <c r="D27" s="46"/>
      <c r="E27" s="10"/>
      <c r="F27" s="10">
        <v>20.706</v>
      </c>
      <c r="G27" s="10">
        <v>13030.495810037697</v>
      </c>
      <c r="H27" s="51">
        <v>2.2252263054633752</v>
      </c>
      <c r="I27" s="64">
        <v>103273.14833801988</v>
      </c>
      <c r="J27" s="42">
        <v>20.37067720799061</v>
      </c>
      <c r="K27" s="51"/>
      <c r="L27" s="51">
        <v>1.185728108454162</v>
      </c>
      <c r="M27" s="42">
        <v>2.2345699967195358</v>
      </c>
      <c r="N27" s="42">
        <v>20.793000309839044</v>
      </c>
      <c r="O27" s="43">
        <f t="shared" si="14"/>
        <v>0.41989847204394481</v>
      </c>
      <c r="P27" s="6">
        <v>0.2</v>
      </c>
      <c r="Q27" s="101"/>
      <c r="R27" s="94"/>
      <c r="S27" s="94"/>
      <c r="T27" s="97"/>
      <c r="U27" s="97"/>
      <c r="V27" s="94"/>
      <c r="W27" s="94"/>
      <c r="X27" s="98"/>
      <c r="Z27" s="45">
        <f t="shared" si="15"/>
        <v>2.2252263054633752</v>
      </c>
      <c r="AA27" s="98"/>
      <c r="AC27" s="12" t="s">
        <v>38</v>
      </c>
      <c r="AD27" s="46"/>
      <c r="AE27" s="10"/>
      <c r="AF27" s="64">
        <v>169.86779999999999</v>
      </c>
      <c r="AG27" s="51">
        <v>2.1991593110978003</v>
      </c>
      <c r="AH27" s="42">
        <v>98888.917892156911</v>
      </c>
      <c r="AI27" s="42">
        <v>19.95999999999998</v>
      </c>
      <c r="AJ27" s="51">
        <v>1.1367199046750998</v>
      </c>
      <c r="AK27" s="42">
        <v>2.2019993223424623</v>
      </c>
      <c r="AL27" s="43">
        <f t="shared" si="16"/>
        <v>0.12914076894430793</v>
      </c>
      <c r="AM27" s="6">
        <v>0.1</v>
      </c>
      <c r="AN27" s="101"/>
      <c r="AO27" s="94"/>
      <c r="AP27" s="94"/>
      <c r="AQ27" s="97"/>
      <c r="AR27" s="97"/>
      <c r="AS27" s="94"/>
      <c r="AT27" s="94"/>
      <c r="AU27" s="98"/>
      <c r="AV27" s="48"/>
      <c r="AW27" s="80"/>
      <c r="AX27" s="98"/>
      <c r="AY27" s="45"/>
      <c r="AZ27" s="71" t="s">
        <v>38</v>
      </c>
      <c r="BA27" s="11" t="s">
        <v>83</v>
      </c>
      <c r="BB27" s="82" t="s">
        <v>80</v>
      </c>
      <c r="BC27" s="81">
        <v>30</v>
      </c>
      <c r="BD27" s="85">
        <v>334.67432000000002</v>
      </c>
      <c r="BE27" s="43">
        <v>2.2085431749905093</v>
      </c>
      <c r="BF27" s="85">
        <f t="shared" si="150"/>
        <v>0.20531741257794159</v>
      </c>
      <c r="BG27" s="50">
        <v>640581.10489154002</v>
      </c>
      <c r="BH27" s="50">
        <v>20.086741221542201</v>
      </c>
      <c r="BI27" s="50">
        <v>7.3708218066400004</v>
      </c>
      <c r="BJ27" s="50">
        <v>2.2127809973880161</v>
      </c>
      <c r="BK27" s="85">
        <f t="shared" si="151"/>
        <v>0.20571138211382115</v>
      </c>
      <c r="BL27" s="43">
        <f t="shared" si="12"/>
        <v>0.19188315834147782</v>
      </c>
      <c r="BM27" s="9">
        <v>0.39</v>
      </c>
      <c r="BN27" s="101"/>
      <c r="BO27" s="94"/>
      <c r="BP27" s="94"/>
      <c r="BQ27" s="97"/>
      <c r="BR27" s="97"/>
      <c r="BS27" s="94"/>
      <c r="BT27" s="94"/>
      <c r="BU27" s="98"/>
      <c r="BW27" s="45"/>
      <c r="BX27" s="98"/>
      <c r="BZ27" s="94"/>
      <c r="CA27" s="94"/>
      <c r="CB27" s="94"/>
      <c r="CC27" s="94"/>
      <c r="CD27" s="94"/>
      <c r="CE27" s="94"/>
      <c r="CG27" s="98"/>
      <c r="CH27" s="94"/>
      <c r="CI27" s="94"/>
      <c r="CJ27" s="94"/>
      <c r="CL27" s="97"/>
      <c r="CM27" s="97"/>
      <c r="CN27" s="100"/>
      <c r="CO27" s="99"/>
      <c r="CP27" s="97"/>
      <c r="CQ27" s="100"/>
      <c r="CR27" s="99"/>
      <c r="CS27" s="97"/>
      <c r="CT27" s="100"/>
    </row>
    <row r="28" spans="2:99" x14ac:dyDescent="0.3">
      <c r="B28" s="87">
        <v>45476.594247685185</v>
      </c>
      <c r="C28" s="12" t="s">
        <v>38</v>
      </c>
      <c r="D28" s="46"/>
      <c r="E28" s="10"/>
      <c r="F28" s="10">
        <v>15.5715</v>
      </c>
      <c r="G28" s="10">
        <v>13030.495810037697</v>
      </c>
      <c r="H28" s="51">
        <v>2.925980834204164</v>
      </c>
      <c r="I28" s="64">
        <v>104461.55107426693</v>
      </c>
      <c r="J28" s="42">
        <v>20.363625042427046</v>
      </c>
      <c r="K28" s="51"/>
      <c r="L28" s="51">
        <v>1.199404956328151</v>
      </c>
      <c r="M28" s="42">
        <v>2.9381253181356444</v>
      </c>
      <c r="N28" s="42">
        <v>15.390600229337906</v>
      </c>
      <c r="O28" s="43">
        <f t="shared" si="14"/>
        <v>0.41505685168930878</v>
      </c>
      <c r="P28" s="6">
        <v>0.2</v>
      </c>
      <c r="Q28" s="101">
        <f>AVERAGE(O28:O30)</f>
        <v>0.40995054590946189</v>
      </c>
      <c r="R28" s="94">
        <f>STDEV(O28:O30)</f>
        <v>7.6253675894995595E-3</v>
      </c>
      <c r="S28" s="94">
        <f>COUNT(P28:P30)</f>
        <v>3</v>
      </c>
      <c r="T28" s="97">
        <f t="shared" ref="T28" si="179">TINV(0.05,S28-1)</f>
        <v>4.3026527297494637</v>
      </c>
      <c r="U28" s="97">
        <f t="shared" ref="U28" si="180">R28*T28/SQRT(S28)</f>
        <v>1.8942463195034571E-2</v>
      </c>
      <c r="V28" s="94">
        <f>AVERAGE(P28:P30)</f>
        <v>0.20000000000000004</v>
      </c>
      <c r="W28" s="94">
        <f t="shared" ref="W28" si="181">SQRT(U28^2+V28^2)</f>
        <v>0.20089503954029142</v>
      </c>
      <c r="X28" s="98">
        <f>AVERAGE(H28:H30)</f>
        <v>2.926365045233871</v>
      </c>
      <c r="Z28" s="45">
        <f t="shared" si="15"/>
        <v>2.925980834204164</v>
      </c>
      <c r="AA28" s="98">
        <f t="shared" si="7"/>
        <v>2.926365045233871</v>
      </c>
      <c r="AC28" s="12" t="s">
        <v>38</v>
      </c>
      <c r="AD28" s="46"/>
      <c r="AE28" s="10"/>
      <c r="AF28" s="64">
        <v>132.11939999999998</v>
      </c>
      <c r="AG28" s="51">
        <v>3.0056102801202274</v>
      </c>
      <c r="AH28" s="42">
        <v>98853.974021164002</v>
      </c>
      <c r="AI28" s="42">
        <v>19.818499999999972</v>
      </c>
      <c r="AJ28" s="51">
        <v>1.1368670547993629</v>
      </c>
      <c r="AK28" s="42">
        <v>3.0100267396708458</v>
      </c>
      <c r="AL28" s="43">
        <f t="shared" si="16"/>
        <v>0.14694052585026959</v>
      </c>
      <c r="AM28" s="6">
        <v>0.1</v>
      </c>
      <c r="AN28" s="101">
        <f>AVERAGE(AL28:AL30)</f>
        <v>0.22260004891447735</v>
      </c>
      <c r="AO28" s="94">
        <f>STDEV(AL28:AL30)</f>
        <v>7.0168446744444987E-2</v>
      </c>
      <c r="AP28" s="94">
        <f>COUNT(AM28:AM30)</f>
        <v>3</v>
      </c>
      <c r="AQ28" s="97">
        <f t="shared" ref="AQ28" si="182">TINV(0.05,AP28-1)</f>
        <v>4.3026527297494637</v>
      </c>
      <c r="AR28" s="97">
        <f t="shared" ref="AR28" si="183">AO28*AQ28/SQRT(AP28)</f>
        <v>0.17430808473282053</v>
      </c>
      <c r="AS28" s="94">
        <f>AVERAGE(AM28:AM30)</f>
        <v>0.10000000000000002</v>
      </c>
      <c r="AT28" s="94">
        <f t="shared" ref="AT28" si="184">SQRT(AR28^2+AS28^2)</f>
        <v>0.20095598623386202</v>
      </c>
      <c r="AU28" s="98">
        <f>AVERAGE(AG28:AG30)</f>
        <v>3.0064065923272718</v>
      </c>
      <c r="AV28" s="48"/>
      <c r="AW28" s="80"/>
      <c r="AX28" s="98">
        <f t="shared" ref="AX28" si="185">AVERAGE(AG28:AG30)</f>
        <v>3.0064065923272718</v>
      </c>
      <c r="AY28" s="45"/>
      <c r="AZ28" s="71" t="s">
        <v>38</v>
      </c>
      <c r="BA28" s="11" t="s">
        <v>77</v>
      </c>
      <c r="BB28" s="82" t="s">
        <v>80</v>
      </c>
      <c r="BC28" s="81">
        <v>23</v>
      </c>
      <c r="BD28" s="85">
        <v>248.02435</v>
      </c>
      <c r="BE28" s="43">
        <v>2.9918500936736989</v>
      </c>
      <c r="BF28" s="85">
        <f t="shared" ref="BF28:BF30" si="186">BE28/3600*BD28</f>
        <v>0.20612546521690508</v>
      </c>
      <c r="BG28" s="50">
        <v>602129.55372626404</v>
      </c>
      <c r="BH28" s="50">
        <v>20.396994674860299</v>
      </c>
      <c r="BI28" s="50">
        <v>6.9203828525800004</v>
      </c>
      <c r="BJ28" s="50">
        <v>2.9961653007840248</v>
      </c>
      <c r="BK28" s="85">
        <f t="shared" ref="BK28:BK30" si="187">BJ28/3600*BD28</f>
        <v>0.20642276422764227</v>
      </c>
      <c r="BL28" s="43">
        <f t="shared" si="12"/>
        <v>0.14423206294493651</v>
      </c>
      <c r="BM28" s="9">
        <v>0.39</v>
      </c>
      <c r="BN28" s="101">
        <f t="shared" ref="BN28" si="188">AVERAGE(BL28:BL30)</f>
        <v>2.3068981626606366E-2</v>
      </c>
      <c r="BO28" s="94">
        <f t="shared" ref="BO28" si="189">STDEV(BL28:BL30)</f>
        <v>0.10493030671051365</v>
      </c>
      <c r="BP28" s="94">
        <f t="shared" ref="BP28" si="190">COUNT(BM28:BM30)</f>
        <v>3</v>
      </c>
      <c r="BQ28" s="97">
        <f t="shared" ref="BQ28" si="191">TINV(0.05,BP28-1)</f>
        <v>4.3026527297494637</v>
      </c>
      <c r="BR28" s="97">
        <f t="shared" ref="BR28" si="192">BO28*BQ28/SQRT(BP28)</f>
        <v>0.26066133200511582</v>
      </c>
      <c r="BS28" s="94">
        <v>0.4</v>
      </c>
      <c r="BT28" s="94">
        <f t="shared" ref="BT28" si="193">SQRT(BR28^2+BS28^2)</f>
        <v>0.47743515790385738</v>
      </c>
      <c r="BU28" s="98">
        <f t="shared" ref="BU28" si="194">AVERAGE(BF28:BF30)</f>
        <v>0.206036426388398</v>
      </c>
      <c r="BW28" s="45"/>
      <c r="BX28" s="98">
        <f t="shared" ref="BX28" si="195">AVERAGE(BE28:BE30)</f>
        <v>2.9897403406273693</v>
      </c>
      <c r="BZ28" s="94">
        <f t="shared" ref="BZ28" si="196">Q28*CA28</f>
        <v>10.157645274994028</v>
      </c>
      <c r="CA28" s="94">
        <f t="shared" ref="CA28" si="197">1/W28^2</f>
        <v>24.777733256726428</v>
      </c>
      <c r="CB28" s="94">
        <f t="shared" ref="CB28" si="198">AN28*CC28</f>
        <v>5.5121796038064401</v>
      </c>
      <c r="CC28" s="94">
        <f t="shared" ref="CC28" si="199">1/AT28^2</f>
        <v>24.762706166000047</v>
      </c>
      <c r="CD28" s="94">
        <f t="shared" ref="CD28" si="200">BN28*CE28</f>
        <v>0.1012044547295167</v>
      </c>
      <c r="CE28" s="94">
        <f t="shared" ref="CE28" si="201">1/BT28^2</f>
        <v>4.3870360802053616</v>
      </c>
      <c r="CG28" s="98">
        <f t="shared" ref="CG28" si="202">AVERAGE(AA28,AX28,BX28)</f>
        <v>2.9741706593961705</v>
      </c>
      <c r="CH28" s="94">
        <f t="shared" ref="CH28" si="203">SUM(BZ28,CB28,CD28)/SUM(CA28,CC28,CE28)</f>
        <v>0.29244887112641815</v>
      </c>
      <c r="CI28" s="94">
        <f t="shared" ref="CI28" si="204">SUM(CA28,CC28,CE28)</f>
        <v>53.927475502931841</v>
      </c>
      <c r="CJ28" s="94">
        <f t="shared" ref="CJ28" si="205">SQRT(CI28^-1)</f>
        <v>0.13617423836156461</v>
      </c>
      <c r="CL28" s="97">
        <f t="shared" ref="CL28" si="206">Q28-CH28</f>
        <v>0.11750167478304374</v>
      </c>
      <c r="CM28" s="97">
        <f t="shared" ref="CM28" si="207">SQRT(W28^2-CJ28^2)</f>
        <v>0.14770035111177982</v>
      </c>
      <c r="CN28" s="100">
        <f t="shared" ref="CN28" si="208">ABS(CL28/CM28)</f>
        <v>0.79554093066521092</v>
      </c>
      <c r="CO28" s="99">
        <f t="shared" ref="CO28" si="209">AN28-CH28</f>
        <v>-6.9848822211940803E-2</v>
      </c>
      <c r="CP28" s="97">
        <f t="shared" ref="CP28" si="210">SQRT(AT28^2-CJ28^2)</f>
        <v>0.14778323724249623</v>
      </c>
      <c r="CQ28" s="100">
        <f t="shared" ref="CQ28" si="211">ABS(CO28/CP28)</f>
        <v>0.47264374170750151</v>
      </c>
      <c r="CR28" s="99">
        <f t="shared" ref="CR28" si="212">BN28-CH28</f>
        <v>-0.26937988949981179</v>
      </c>
      <c r="CS28" s="97">
        <f t="shared" ref="CS28" si="213">SQRT(BT28^2-CJ28^2)</f>
        <v>0.45760343837140144</v>
      </c>
      <c r="CT28" s="100">
        <f t="shared" ref="CT28" si="214">ABS(CR28/CS28)</f>
        <v>0.58867540519041484</v>
      </c>
    </row>
    <row r="29" spans="2:99" x14ac:dyDescent="0.3">
      <c r="B29" s="87">
        <v>45476.594976851855</v>
      </c>
      <c r="C29" s="12" t="s">
        <v>38</v>
      </c>
      <c r="D29" s="46"/>
      <c r="E29" s="10"/>
      <c r="F29" s="10">
        <v>15.568000000000001</v>
      </c>
      <c r="G29" s="10">
        <v>13030.495810037697</v>
      </c>
      <c r="H29" s="51">
        <v>2.9266537442486715</v>
      </c>
      <c r="I29" s="64">
        <v>104456.61685836356</v>
      </c>
      <c r="J29" s="42">
        <v>20.365750958923975</v>
      </c>
      <c r="K29" s="51"/>
      <c r="L29" s="51">
        <v>1.1993395779612401</v>
      </c>
      <c r="M29" s="42">
        <v>2.9383950479994061</v>
      </c>
      <c r="N29" s="42">
        <v>15.588400232285494</v>
      </c>
      <c r="O29" s="43">
        <f t="shared" si="14"/>
        <v>0.40118527085098632</v>
      </c>
      <c r="P29" s="6">
        <v>0.2</v>
      </c>
      <c r="Q29" s="101"/>
      <c r="R29" s="94"/>
      <c r="S29" s="94"/>
      <c r="T29" s="97"/>
      <c r="U29" s="97"/>
      <c r="V29" s="94"/>
      <c r="W29" s="94"/>
      <c r="X29" s="98"/>
      <c r="Z29" s="45">
        <f t="shared" si="15"/>
        <v>2.9266537442486715</v>
      </c>
      <c r="AA29" s="98"/>
      <c r="AC29" s="12" t="s">
        <v>38</v>
      </c>
      <c r="AD29" s="46"/>
      <c r="AE29" s="10"/>
      <c r="AF29" s="64">
        <v>122.68200000000002</v>
      </c>
      <c r="AG29" s="51">
        <v>3.0057543663165451</v>
      </c>
      <c r="AH29" s="42">
        <v>98897.680602957917</v>
      </c>
      <c r="AI29" s="42">
        <v>19.95799999999997</v>
      </c>
      <c r="AJ29" s="51">
        <v>1.136828388317118</v>
      </c>
      <c r="AK29" s="42">
        <v>3.0143368876345384</v>
      </c>
      <c r="AL29" s="43">
        <f t="shared" si="16"/>
        <v>0.28553635034758051</v>
      </c>
      <c r="AM29" s="6">
        <v>0.1</v>
      </c>
      <c r="AN29" s="101"/>
      <c r="AO29" s="94"/>
      <c r="AP29" s="94"/>
      <c r="AQ29" s="97"/>
      <c r="AR29" s="97"/>
      <c r="AS29" s="94"/>
      <c r="AT29" s="94"/>
      <c r="AU29" s="98"/>
      <c r="AV29" s="48"/>
      <c r="AW29" s="80"/>
      <c r="AX29" s="98"/>
      <c r="AY29" s="45"/>
      <c r="AZ29" s="71" t="s">
        <v>38</v>
      </c>
      <c r="BA29" s="11" t="s">
        <v>78</v>
      </c>
      <c r="BB29" s="82" t="s">
        <v>80</v>
      </c>
      <c r="BC29" s="81">
        <v>24</v>
      </c>
      <c r="BD29" s="85">
        <v>248.20445000000001</v>
      </c>
      <c r="BE29" s="43">
        <v>2.9892163431412619</v>
      </c>
      <c r="BF29" s="85">
        <f t="shared" si="186"/>
        <v>0.20609355510566341</v>
      </c>
      <c r="BG29" s="50">
        <v>602129.98192984599</v>
      </c>
      <c r="BH29" s="50">
        <v>20.079529765763699</v>
      </c>
      <c r="BI29" s="50">
        <v>6.9279942536199997</v>
      </c>
      <c r="BJ29" s="50">
        <v>2.9880952440029414</v>
      </c>
      <c r="BK29" s="85">
        <f t="shared" si="187"/>
        <v>0.20601626016260163</v>
      </c>
      <c r="BL29" s="43">
        <f t="shared" si="12"/>
        <v>-3.7504784185097034E-2</v>
      </c>
      <c r="BM29" s="9">
        <v>0.39</v>
      </c>
      <c r="BN29" s="101"/>
      <c r="BO29" s="94"/>
      <c r="BP29" s="94"/>
      <c r="BQ29" s="97"/>
      <c r="BR29" s="97"/>
      <c r="BS29" s="94"/>
      <c r="BT29" s="94"/>
      <c r="BU29" s="98"/>
      <c r="BW29" s="45"/>
      <c r="BX29" s="98"/>
      <c r="BZ29" s="94"/>
      <c r="CA29" s="94"/>
      <c r="CB29" s="94"/>
      <c r="CC29" s="94"/>
      <c r="CD29" s="94"/>
      <c r="CE29" s="94"/>
      <c r="CG29" s="98"/>
      <c r="CH29" s="94"/>
      <c r="CI29" s="94"/>
      <c r="CJ29" s="94"/>
      <c r="CL29" s="97"/>
      <c r="CM29" s="97"/>
      <c r="CN29" s="100"/>
      <c r="CO29" s="99"/>
      <c r="CP29" s="97"/>
      <c r="CQ29" s="100"/>
      <c r="CR29" s="99"/>
      <c r="CS29" s="97"/>
      <c r="CT29" s="100"/>
    </row>
    <row r="30" spans="2:99" x14ac:dyDescent="0.3">
      <c r="B30" s="87">
        <v>45476.595717592594</v>
      </c>
      <c r="C30" s="12" t="s">
        <v>38</v>
      </c>
      <c r="D30" s="46"/>
      <c r="E30" s="10"/>
      <c r="F30" s="10">
        <v>15.569500000000001</v>
      </c>
      <c r="G30" s="10">
        <v>13030.495810037697</v>
      </c>
      <c r="H30" s="51">
        <v>2.9264605572487783</v>
      </c>
      <c r="I30" s="64">
        <v>104455.67878679548</v>
      </c>
      <c r="J30" s="42">
        <v>20.367801331567094</v>
      </c>
      <c r="K30" s="51"/>
      <c r="L30" s="51">
        <v>1.1993204034874714</v>
      </c>
      <c r="M30" s="42">
        <v>2.9385646765717857</v>
      </c>
      <c r="N30" s="42">
        <v>15.562600231901342</v>
      </c>
      <c r="O30" s="43">
        <f t="shared" si="14"/>
        <v>0.41360951518809064</v>
      </c>
      <c r="P30" s="6">
        <v>0.2</v>
      </c>
      <c r="Q30" s="101"/>
      <c r="R30" s="94"/>
      <c r="S30" s="94"/>
      <c r="T30" s="97"/>
      <c r="U30" s="97"/>
      <c r="V30" s="94"/>
      <c r="W30" s="94"/>
      <c r="X30" s="98"/>
      <c r="Z30" s="45">
        <f t="shared" si="15"/>
        <v>2.9264605572487783</v>
      </c>
      <c r="AA30" s="98"/>
      <c r="AC30" s="12" t="s">
        <v>38</v>
      </c>
      <c r="AD30" s="46"/>
      <c r="AE30" s="10"/>
      <c r="AF30" s="64">
        <v>122.68200000000002</v>
      </c>
      <c r="AG30" s="51">
        <v>3.0078551305450425</v>
      </c>
      <c r="AH30" s="42">
        <v>98957.356086461892</v>
      </c>
      <c r="AI30" s="42">
        <v>19.906499999999994</v>
      </c>
      <c r="AJ30" s="51">
        <v>1.1377142577115218</v>
      </c>
      <c r="AK30" s="42">
        <v>3.0149333136115142</v>
      </c>
      <c r="AL30" s="43">
        <f t="shared" si="16"/>
        <v>0.23532327054558194</v>
      </c>
      <c r="AM30" s="6">
        <v>0.1</v>
      </c>
      <c r="AN30" s="101"/>
      <c r="AO30" s="94"/>
      <c r="AP30" s="94"/>
      <c r="AQ30" s="97"/>
      <c r="AR30" s="97"/>
      <c r="AS30" s="94"/>
      <c r="AT30" s="94"/>
      <c r="AU30" s="98"/>
      <c r="AV30" s="48"/>
      <c r="AW30" s="80"/>
      <c r="AX30" s="98"/>
      <c r="AY30" s="45"/>
      <c r="AZ30" s="71" t="s">
        <v>38</v>
      </c>
      <c r="BA30" s="11" t="s">
        <v>79</v>
      </c>
      <c r="BB30" s="82" t="s">
        <v>80</v>
      </c>
      <c r="BC30" s="81">
        <v>25</v>
      </c>
      <c r="BD30" s="85">
        <v>248.04772</v>
      </c>
      <c r="BE30" s="43">
        <v>2.9881545850671465</v>
      </c>
      <c r="BF30" s="85">
        <f t="shared" si="186"/>
        <v>0.20589025884262549</v>
      </c>
      <c r="BG30" s="50">
        <v>602043.26976350509</v>
      </c>
      <c r="BH30" s="50">
        <v>19.927695668365601</v>
      </c>
      <c r="BI30" s="50">
        <v>6.9306377152099996</v>
      </c>
      <c r="BJ30" s="50">
        <v>2.9870334194899781</v>
      </c>
      <c r="BK30" s="85">
        <f t="shared" si="187"/>
        <v>0.2058130081300813</v>
      </c>
      <c r="BL30" s="43">
        <f t="shared" si="12"/>
        <v>-3.7520333880020372E-2</v>
      </c>
      <c r="BM30" s="9">
        <v>0.39</v>
      </c>
      <c r="BN30" s="101"/>
      <c r="BO30" s="94"/>
      <c r="BP30" s="94"/>
      <c r="BQ30" s="97"/>
      <c r="BR30" s="97"/>
      <c r="BS30" s="94"/>
      <c r="BT30" s="94"/>
      <c r="BU30" s="98"/>
      <c r="BW30" s="45"/>
      <c r="BX30" s="98"/>
      <c r="BZ30" s="94"/>
      <c r="CA30" s="94"/>
      <c r="CB30" s="94"/>
      <c r="CC30" s="94"/>
      <c r="CD30" s="94"/>
      <c r="CE30" s="94"/>
      <c r="CG30" s="98"/>
      <c r="CH30" s="94"/>
      <c r="CI30" s="94"/>
      <c r="CJ30" s="94"/>
      <c r="CL30" s="97"/>
      <c r="CM30" s="97"/>
      <c r="CN30" s="100"/>
      <c r="CO30" s="99"/>
      <c r="CP30" s="97"/>
      <c r="CQ30" s="100"/>
      <c r="CR30" s="99"/>
      <c r="CS30" s="97"/>
      <c r="CT30" s="100"/>
    </row>
    <row r="31" spans="2:99" x14ac:dyDescent="0.3">
      <c r="B31" s="41"/>
      <c r="C31" s="57"/>
      <c r="D31" s="58"/>
      <c r="E31" s="59"/>
      <c r="F31" s="59"/>
      <c r="G31" s="59"/>
      <c r="H31" s="60"/>
      <c r="I31" s="61"/>
      <c r="J31" s="61"/>
      <c r="K31" s="60"/>
      <c r="L31" s="60"/>
      <c r="M31" s="61"/>
      <c r="N31" s="61"/>
      <c r="O31" s="62"/>
      <c r="P31" s="63"/>
      <c r="Q31" s="90"/>
      <c r="R31" s="91"/>
      <c r="S31" s="91"/>
      <c r="T31" s="104"/>
      <c r="U31" s="104"/>
      <c r="V31" s="91"/>
      <c r="W31" s="91"/>
      <c r="X31" s="105"/>
      <c r="Z31" s="45"/>
      <c r="AA31" s="98"/>
      <c r="AC31" s="12" t="s">
        <v>38</v>
      </c>
      <c r="AD31" s="46"/>
      <c r="AE31" s="10"/>
      <c r="AF31" s="64">
        <v>66.059399999999997</v>
      </c>
      <c r="AG31" s="51">
        <v>6.0159880346482044</v>
      </c>
      <c r="AH31" s="42">
        <v>98866.584946236544</v>
      </c>
      <c r="AI31" s="42">
        <v>19.815999999999974</v>
      </c>
      <c r="AJ31" s="51">
        <v>1.13702178894529</v>
      </c>
      <c r="AK31" s="42">
        <v>6.0200808186157957</v>
      </c>
      <c r="AL31" s="43">
        <f t="shared" si="16"/>
        <v>6.8031783707339213E-2</v>
      </c>
      <c r="AM31" s="6">
        <v>0.1</v>
      </c>
      <c r="AN31" s="101">
        <f>AVERAGE(AL31:AL33)</f>
        <v>0.19764584984950259</v>
      </c>
      <c r="AO31" s="94">
        <f>STDEV(AL31:AL33)</f>
        <v>0.17926968816244396</v>
      </c>
      <c r="AP31" s="94">
        <f>COUNT(AM31:AM33)</f>
        <v>3</v>
      </c>
      <c r="AQ31" s="97">
        <f t="shared" ref="AQ31" si="215">TINV(0.05,AP31-1)</f>
        <v>4.3026527297494637</v>
      </c>
      <c r="AR31" s="97">
        <f t="shared" ref="AR31" si="216">AO31*AQ31/SQRT(AP31)</f>
        <v>0.445330592938049</v>
      </c>
      <c r="AS31" s="94">
        <f>AVERAGE(AM31:AM33)</f>
        <v>0.10000000000000002</v>
      </c>
      <c r="AT31" s="94">
        <f t="shared" ref="AT31" si="217">SQRT(AR31^2+AS31^2)</f>
        <v>0.45642013212231808</v>
      </c>
      <c r="AU31" s="98">
        <f>AVERAGE(AG31:AG33)</f>
        <v>6.0332629583368025</v>
      </c>
      <c r="AV31" s="48"/>
      <c r="AW31" s="80"/>
      <c r="AX31" s="98">
        <f t="shared" ref="AX31" si="218">AVERAGE(AG31:AG33)</f>
        <v>6.0332629583368025</v>
      </c>
      <c r="AY31" s="45"/>
      <c r="AZ31" s="71" t="s">
        <v>38</v>
      </c>
      <c r="BA31" s="11" t="s">
        <v>74</v>
      </c>
      <c r="BB31" s="81" t="s">
        <v>60</v>
      </c>
      <c r="BC31" s="81">
        <v>10</v>
      </c>
      <c r="BD31" s="85">
        <v>180.54615999999999</v>
      </c>
      <c r="BE31" s="43">
        <v>6.1073881873747835</v>
      </c>
      <c r="BF31" s="85">
        <f t="shared" ref="BF31:BF33" si="219">BE31/3600*BD31</f>
        <v>0.30629596801663267</v>
      </c>
      <c r="BG31" s="50">
        <v>1097367.6602077379</v>
      </c>
      <c r="BH31" s="50">
        <v>19.7301028544959</v>
      </c>
      <c r="BI31" s="50">
        <v>12.6542342683</v>
      </c>
      <c r="BJ31" s="50">
        <v>6.1095111659411918</v>
      </c>
      <c r="BK31" s="85">
        <f t="shared" ref="BK31:BK33" si="220">BJ31/3600*BD31</f>
        <v>0.30640243902439024</v>
      </c>
      <c r="BL31" s="43">
        <f t="shared" si="12"/>
        <v>3.4760825761763724E-2</v>
      </c>
      <c r="BM31" s="9">
        <v>0.39</v>
      </c>
      <c r="BN31" s="101">
        <f t="shared" ref="BN31" si="221">AVERAGE(BL31:BL33)</f>
        <v>2.6522051317007061E-2</v>
      </c>
      <c r="BO31" s="94">
        <f t="shared" ref="BO31" si="222">STDEV(BL31:BL33)</f>
        <v>2.4973125292040297E-2</v>
      </c>
      <c r="BP31" s="94">
        <f t="shared" ref="BP31" si="223">COUNT(BM31:BM33)</f>
        <v>3</v>
      </c>
      <c r="BQ31" s="97">
        <f t="shared" ref="BQ31" si="224">TINV(0.05,BP31-1)</f>
        <v>4.3026527297494637</v>
      </c>
      <c r="BR31" s="97">
        <f t="shared" ref="BR31" si="225">BO31*BQ31/SQRT(BP31)</f>
        <v>6.2036682318223298E-2</v>
      </c>
      <c r="BS31" s="94">
        <v>0.4</v>
      </c>
      <c r="BT31" s="94">
        <f t="shared" ref="BT31" si="226">SQRT(BR31^2+BS31^2)</f>
        <v>0.4047821018190555</v>
      </c>
      <c r="BU31" s="98">
        <f t="shared" ref="BU31" si="227">AVERAGE(BF31:BF33)</f>
        <v>0.30666667476117632</v>
      </c>
      <c r="BW31" s="45"/>
      <c r="BX31" s="98">
        <f t="shared" ref="BX31" si="228">AVERAGE(BE31:BE33)</f>
        <v>6.1096384365746088</v>
      </c>
      <c r="BZ31" s="94"/>
      <c r="CA31" s="94"/>
      <c r="CB31" s="94">
        <f>AN31*CC31</f>
        <v>0.94876381947818955</v>
      </c>
      <c r="CC31" s="94">
        <f>1/AT31^2</f>
        <v>4.8003224970351042</v>
      </c>
      <c r="CD31" s="94">
        <f t="shared" ref="CD31" si="229">BN31*CE31</f>
        <v>0.16186930750749071</v>
      </c>
      <c r="CE31" s="94">
        <f t="shared" ref="CE31" si="230">1/BT31^2</f>
        <v>6.1031971310489572</v>
      </c>
      <c r="CG31" s="98">
        <f t="shared" ref="CG31" si="231">AVERAGE(AA31,AX31,BX31)</f>
        <v>6.0714506974557061</v>
      </c>
      <c r="CH31" s="94">
        <f>SUM(BZ31,CB31,CD31)/SUM(CA31,CC31,CE31)</f>
        <v>0.10186005664859225</v>
      </c>
      <c r="CI31" s="94">
        <f>SUM(CA31,CC31,CE31)</f>
        <v>10.903519628084062</v>
      </c>
      <c r="CJ31" s="94">
        <f>SQRT(CI31^-1)</f>
        <v>0.3028423762011962</v>
      </c>
      <c r="CL31" s="97"/>
      <c r="CM31" s="97"/>
      <c r="CN31" s="100"/>
      <c r="CO31" s="99">
        <f>AN31-CH31</f>
        <v>9.5785793200910338E-2</v>
      </c>
      <c r="CP31" s="97">
        <f>SQRT(AT31^2-CJ31^2)</f>
        <v>0.34147596135506736</v>
      </c>
      <c r="CQ31" s="100">
        <f t="shared" ref="CQ31" si="232">ABS(CO31/CP31)</f>
        <v>0.28050523035591396</v>
      </c>
      <c r="CR31" s="99">
        <f t="shared" ref="CR31" si="233">BN31-CH31</f>
        <v>-7.5338005331585189E-2</v>
      </c>
      <c r="CS31" s="97">
        <f t="shared" ref="CS31" si="234">SQRT(BT31^2-CJ31^2)</f>
        <v>0.26857968115601255</v>
      </c>
      <c r="CT31" s="100">
        <f t="shared" ref="CT31" si="235">ABS(CR31/CS31)</f>
        <v>0.28050523035591385</v>
      </c>
    </row>
    <row r="32" spans="2:99" x14ac:dyDescent="0.3">
      <c r="B32" s="41"/>
      <c r="C32" s="57"/>
      <c r="D32" s="58"/>
      <c r="E32" s="59"/>
      <c r="F32" s="59"/>
      <c r="G32" s="59"/>
      <c r="H32" s="60"/>
      <c r="I32" s="61"/>
      <c r="J32" s="61"/>
      <c r="K32" s="60"/>
      <c r="L32" s="60"/>
      <c r="M32" s="61"/>
      <c r="N32" s="61"/>
      <c r="O32" s="62"/>
      <c r="P32" s="63"/>
      <c r="Q32" s="90"/>
      <c r="R32" s="91"/>
      <c r="S32" s="91"/>
      <c r="T32" s="104"/>
      <c r="U32" s="104"/>
      <c r="V32" s="91"/>
      <c r="W32" s="91"/>
      <c r="X32" s="105"/>
      <c r="Z32" s="45"/>
      <c r="AA32" s="98"/>
      <c r="AC32" s="12" t="s">
        <v>38</v>
      </c>
      <c r="AD32" s="46"/>
      <c r="AE32" s="10"/>
      <c r="AF32" s="64">
        <v>61.864800000000002</v>
      </c>
      <c r="AG32" s="51">
        <v>6.0384993764790433</v>
      </c>
      <c r="AH32" s="42">
        <v>98911.08321839085</v>
      </c>
      <c r="AI32" s="42">
        <v>19.956000000000017</v>
      </c>
      <c r="AJ32" s="51">
        <v>1.1369902094861619</v>
      </c>
      <c r="AK32" s="42">
        <v>6.0627880593117141</v>
      </c>
      <c r="AL32" s="43">
        <f t="shared" si="16"/>
        <v>0.40223044366418531</v>
      </c>
      <c r="AM32" s="6">
        <v>0.1</v>
      </c>
      <c r="AN32" s="101"/>
      <c r="AO32" s="94"/>
      <c r="AP32" s="94"/>
      <c r="AQ32" s="97"/>
      <c r="AR32" s="97"/>
      <c r="AS32" s="94"/>
      <c r="AT32" s="94"/>
      <c r="AU32" s="98"/>
      <c r="AV32" s="48"/>
      <c r="AW32" s="80"/>
      <c r="AX32" s="98"/>
      <c r="AY32" s="45"/>
      <c r="AZ32" s="71" t="s">
        <v>38</v>
      </c>
      <c r="BA32" s="9" t="s">
        <v>75</v>
      </c>
      <c r="BB32" s="81" t="s">
        <v>60</v>
      </c>
      <c r="BC32" s="81">
        <v>11</v>
      </c>
      <c r="BD32" s="85">
        <v>180.64955</v>
      </c>
      <c r="BE32" s="43">
        <v>6.1116885984637497</v>
      </c>
      <c r="BF32" s="85">
        <f t="shared" si="219"/>
        <v>0.30668716529239087</v>
      </c>
      <c r="BG32" s="85">
        <v>1097060.7637314731</v>
      </c>
      <c r="BH32" s="85">
        <v>20.066369953093101</v>
      </c>
      <c r="BI32" s="85">
        <v>12.6357604799</v>
      </c>
      <c r="BJ32" s="85">
        <v>6.1145204394567187</v>
      </c>
      <c r="BK32" s="85">
        <f t="shared" si="220"/>
        <v>0.30682926829268292</v>
      </c>
      <c r="BL32" s="43">
        <f t="shared" si="12"/>
        <v>4.6334837702311359E-2</v>
      </c>
      <c r="BM32" s="9">
        <v>0.39</v>
      </c>
      <c r="BN32" s="101"/>
      <c r="BO32" s="94"/>
      <c r="BP32" s="94"/>
      <c r="BQ32" s="97"/>
      <c r="BR32" s="97"/>
      <c r="BS32" s="94"/>
      <c r="BT32" s="94"/>
      <c r="BU32" s="98"/>
      <c r="BW32" s="45"/>
      <c r="BX32" s="98"/>
      <c r="BZ32" s="94"/>
      <c r="CA32" s="94"/>
      <c r="CB32" s="94"/>
      <c r="CC32" s="94"/>
      <c r="CD32" s="94"/>
      <c r="CE32" s="94"/>
      <c r="CG32" s="98"/>
      <c r="CH32" s="94"/>
      <c r="CI32" s="94"/>
      <c r="CJ32" s="94"/>
      <c r="CL32" s="97"/>
      <c r="CM32" s="97"/>
      <c r="CN32" s="100"/>
      <c r="CO32" s="99"/>
      <c r="CP32" s="97"/>
      <c r="CQ32" s="100"/>
      <c r="CR32" s="99"/>
      <c r="CS32" s="97"/>
      <c r="CT32" s="100"/>
    </row>
    <row r="33" spans="2:98" x14ac:dyDescent="0.3">
      <c r="B33" s="41"/>
      <c r="C33" s="57"/>
      <c r="D33" s="58"/>
      <c r="E33" s="59"/>
      <c r="F33" s="59"/>
      <c r="G33" s="59"/>
      <c r="H33" s="60"/>
      <c r="I33" s="61"/>
      <c r="J33" s="61"/>
      <c r="K33" s="60"/>
      <c r="L33" s="60"/>
      <c r="M33" s="61"/>
      <c r="N33" s="61"/>
      <c r="O33" s="62"/>
      <c r="P33" s="63"/>
      <c r="Q33" s="90"/>
      <c r="R33" s="91"/>
      <c r="S33" s="91"/>
      <c r="T33" s="104"/>
      <c r="U33" s="104"/>
      <c r="V33" s="91"/>
      <c r="W33" s="91"/>
      <c r="X33" s="105"/>
      <c r="Z33" s="45"/>
      <c r="AA33" s="98"/>
      <c r="AC33" s="12" t="s">
        <v>38</v>
      </c>
      <c r="AD33" s="46"/>
      <c r="AE33" s="10"/>
      <c r="AF33" s="64">
        <v>63.962400000000002</v>
      </c>
      <c r="AG33" s="51">
        <v>6.0453014638831606</v>
      </c>
      <c r="AH33" s="42">
        <v>98968.255333333291</v>
      </c>
      <c r="AI33" s="42">
        <v>19.896999999999991</v>
      </c>
      <c r="AJ33" s="51">
        <v>1.1378764530140526</v>
      </c>
      <c r="AK33" s="42">
        <v>6.0527175569305491</v>
      </c>
      <c r="AL33" s="43">
        <f t="shared" si="16"/>
        <v>0.12267532217698322</v>
      </c>
      <c r="AM33" s="6">
        <v>0.1</v>
      </c>
      <c r="AN33" s="101"/>
      <c r="AO33" s="94"/>
      <c r="AP33" s="94"/>
      <c r="AQ33" s="97"/>
      <c r="AR33" s="97"/>
      <c r="AS33" s="94"/>
      <c r="AT33" s="94"/>
      <c r="AU33" s="98"/>
      <c r="AV33" s="48"/>
      <c r="AW33" s="80"/>
      <c r="AX33" s="98"/>
      <c r="AY33" s="45"/>
      <c r="AZ33" s="71" t="s">
        <v>38</v>
      </c>
      <c r="BA33" s="9" t="s">
        <v>76</v>
      </c>
      <c r="BB33" s="81" t="s">
        <v>60</v>
      </c>
      <c r="BC33" s="81">
        <v>12</v>
      </c>
      <c r="BD33" s="85">
        <v>180.89852999999999</v>
      </c>
      <c r="BE33" s="43">
        <v>6.1098385238852932</v>
      </c>
      <c r="BF33" s="85">
        <f t="shared" si="219"/>
        <v>0.30701689097450535</v>
      </c>
      <c r="BG33" s="85">
        <v>1095854.8155598508</v>
      </c>
      <c r="BH33" s="85">
        <v>19.9391025997928</v>
      </c>
      <c r="BI33" s="85">
        <v>12.6274795838</v>
      </c>
      <c r="BJ33" s="85">
        <v>6.109745073323837</v>
      </c>
      <c r="BK33" s="85">
        <f t="shared" si="220"/>
        <v>0.30701219512195121</v>
      </c>
      <c r="BL33" s="43">
        <f t="shared" si="12"/>
        <v>-1.5295095130539076E-3</v>
      </c>
      <c r="BM33" s="9">
        <v>0.39</v>
      </c>
      <c r="BN33" s="101"/>
      <c r="BO33" s="94"/>
      <c r="BP33" s="94"/>
      <c r="BQ33" s="97"/>
      <c r="BR33" s="97"/>
      <c r="BS33" s="94"/>
      <c r="BT33" s="94"/>
      <c r="BU33" s="98"/>
      <c r="BW33" s="45"/>
      <c r="BX33" s="98"/>
      <c r="BZ33" s="94"/>
      <c r="CA33" s="94"/>
      <c r="CB33" s="94"/>
      <c r="CC33" s="94"/>
      <c r="CD33" s="94"/>
      <c r="CE33" s="94"/>
      <c r="CG33" s="98"/>
      <c r="CH33" s="94"/>
      <c r="CI33" s="94"/>
      <c r="CJ33" s="94"/>
      <c r="CL33" s="97"/>
      <c r="CM33" s="97"/>
      <c r="CN33" s="100"/>
      <c r="CO33" s="99"/>
      <c r="CP33" s="97"/>
      <c r="CQ33" s="100"/>
      <c r="CR33" s="99"/>
      <c r="CS33" s="97"/>
      <c r="CT33" s="100"/>
    </row>
    <row r="34" spans="2:98" x14ac:dyDescent="0.3">
      <c r="B34" s="41"/>
      <c r="C34" s="57"/>
      <c r="D34" s="58"/>
      <c r="E34" s="59"/>
      <c r="F34" s="59"/>
      <c r="G34" s="59"/>
      <c r="H34" s="60"/>
      <c r="I34" s="61"/>
      <c r="J34" s="61"/>
      <c r="K34" s="60"/>
      <c r="L34" s="60"/>
      <c r="M34" s="61"/>
      <c r="N34" s="61"/>
      <c r="O34" s="62"/>
      <c r="P34" s="63"/>
      <c r="Q34" s="90"/>
      <c r="R34" s="91"/>
      <c r="S34" s="91"/>
      <c r="T34" s="104"/>
      <c r="U34" s="104"/>
      <c r="V34" s="91"/>
      <c r="W34" s="91"/>
      <c r="X34" s="105"/>
      <c r="Z34" s="45"/>
      <c r="AA34" s="98"/>
      <c r="AC34" s="12" t="s">
        <v>38</v>
      </c>
      <c r="AD34" s="46"/>
      <c r="AE34" s="10"/>
      <c r="AF34" s="64">
        <v>67.107600000000005</v>
      </c>
      <c r="AG34" s="51">
        <v>10.029197403210221</v>
      </c>
      <c r="AH34" s="42">
        <v>98895.115811965748</v>
      </c>
      <c r="AI34" s="42">
        <v>19.815499999999986</v>
      </c>
      <c r="AJ34" s="51">
        <v>1.137351851178249</v>
      </c>
      <c r="AK34" s="42">
        <v>10.041027667398073</v>
      </c>
      <c r="AL34" s="43">
        <f t="shared" si="16"/>
        <v>0.11795823446515376</v>
      </c>
      <c r="AM34" s="6">
        <v>0.1</v>
      </c>
      <c r="AN34" s="101">
        <f>AVERAGE(AL34:AL36)</f>
        <v>0.1708353839498564</v>
      </c>
      <c r="AO34" s="94">
        <f>STDEV(AL34:AL36)</f>
        <v>4.733365738335666E-2</v>
      </c>
      <c r="AP34" s="94">
        <f>COUNT(AM34:AM36)</f>
        <v>3</v>
      </c>
      <c r="AQ34" s="97">
        <f t="shared" ref="AQ34" si="236">TINV(0.05,AP34-1)</f>
        <v>4.3026527297494637</v>
      </c>
      <c r="AR34" s="97">
        <f t="shared" ref="AR34" si="237">AO34*AQ34/SQRT(AP34)</f>
        <v>0.11758332334106578</v>
      </c>
      <c r="AS34" s="94">
        <f>AVERAGE(AM34:AM36)</f>
        <v>0.10000000000000002</v>
      </c>
      <c r="AT34" s="94">
        <f t="shared" ref="AT34" si="238">SQRT(AR34^2+AS34^2)</f>
        <v>0.15435620469527497</v>
      </c>
      <c r="AU34" s="98">
        <f>AVERAGE(AG34:AG36)</f>
        <v>10.044724167130965</v>
      </c>
      <c r="AV34" s="48"/>
      <c r="AW34" s="80"/>
      <c r="AX34" s="98">
        <f t="shared" ref="AX34" si="239">AVERAGE(AG34:AG36)</f>
        <v>10.044724167130965</v>
      </c>
      <c r="AY34" s="45"/>
      <c r="AZ34" s="71" t="s">
        <v>38</v>
      </c>
      <c r="BA34" s="9" t="s">
        <v>71</v>
      </c>
      <c r="BB34" s="81" t="s">
        <v>60</v>
      </c>
      <c r="BC34" s="81">
        <v>4</v>
      </c>
      <c r="BD34" s="85">
        <v>183.03097</v>
      </c>
      <c r="BE34" s="43">
        <v>10.009607273401967</v>
      </c>
      <c r="BF34" s="85">
        <f t="shared" ref="BF34:BF36" si="240">BE34/3600*BD34</f>
        <v>0.50890781349161585</v>
      </c>
      <c r="BG34" s="85">
        <v>1095337.2152812581</v>
      </c>
      <c r="BH34" s="85">
        <v>20.235972703350502</v>
      </c>
      <c r="BI34" s="85">
        <v>12.608360231700001</v>
      </c>
      <c r="BJ34" s="85">
        <v>9.9947099849530066</v>
      </c>
      <c r="BK34" s="85">
        <f t="shared" ref="BK34:BK36" si="241">BJ34/3600*BD34</f>
        <v>0.50815040650406507</v>
      </c>
      <c r="BL34" s="43">
        <f t="shared" si="12"/>
        <v>-0.14882989953606943</v>
      </c>
      <c r="BM34" s="9">
        <v>0.39</v>
      </c>
      <c r="BN34" s="101">
        <f t="shared" ref="BN34" si="242">AVERAGE(BL34:BL36)</f>
        <v>-0.14857381562713842</v>
      </c>
      <c r="BO34" s="94">
        <f t="shared" ref="BO34" si="243">STDEV(BL34:BL36)</f>
        <v>1.5181677313702967E-3</v>
      </c>
      <c r="BP34" s="94">
        <f t="shared" ref="BP34" si="244">COUNT(BM34:BM36)</f>
        <v>3</v>
      </c>
      <c r="BQ34" s="97">
        <f t="shared" ref="BQ34" si="245">TINV(0.05,BP34-1)</f>
        <v>4.3026527297494637</v>
      </c>
      <c r="BR34" s="97">
        <f t="shared" ref="BR34" si="246">BO34*BQ34/SQRT(BP34)</f>
        <v>3.7713377142594004E-3</v>
      </c>
      <c r="BS34" s="94">
        <v>0.4</v>
      </c>
      <c r="BT34" s="94">
        <f t="shared" ref="BT34" si="247">SQRT(BR34^2+BS34^2)</f>
        <v>0.40001777834010704</v>
      </c>
      <c r="BU34" s="98">
        <f t="shared" ref="BU34" si="248">AVERAGE(BF34:BF36)</f>
        <v>0.50499148496383761</v>
      </c>
      <c r="BW34" s="45"/>
      <c r="BX34" s="98">
        <f t="shared" ref="BX34" si="249">AVERAGE(BE34:BE36)</f>
        <v>10.008493192019385</v>
      </c>
      <c r="BZ34" s="94"/>
      <c r="CA34" s="94"/>
      <c r="CB34" s="94">
        <f>AN34*CC34</f>
        <v>7.1701731736198937</v>
      </c>
      <c r="CC34" s="94">
        <f>1/AT34^2</f>
        <v>41.971241600185607</v>
      </c>
      <c r="CD34" s="94">
        <f t="shared" ref="CD34" si="250">BN34*CE34</f>
        <v>-0.92850380955283285</v>
      </c>
      <c r="CE34" s="94">
        <f t="shared" ref="CE34" si="251">1/BT34^2</f>
        <v>6.2494444639088398</v>
      </c>
      <c r="CG34" s="98">
        <f t="shared" ref="CG34" si="252">AVERAGE(AA34,AX34,BX34)</f>
        <v>10.026608679575176</v>
      </c>
      <c r="CH34" s="94">
        <f t="shared" ref="CH34" si="253">SUM(BZ34,CB34,CD34)/SUM(CA34,CC34,CE34)</f>
        <v>0.12943966321364025</v>
      </c>
      <c r="CI34" s="94">
        <f t="shared" ref="CI34" si="254">SUM(CA34,CC34,CE34)</f>
        <v>48.220686064094444</v>
      </c>
      <c r="CJ34" s="94">
        <f>SQRT(CI34^-1)</f>
        <v>0.14400690196798424</v>
      </c>
      <c r="CL34" s="97"/>
      <c r="CM34" s="97"/>
      <c r="CN34" s="100"/>
      <c r="CO34" s="99">
        <f>AN34-CH34</f>
        <v>4.1395720736216141E-2</v>
      </c>
      <c r="CP34" s="97">
        <f>SQRT(AT34^2-CJ34^2)</f>
        <v>5.556842730825666E-2</v>
      </c>
      <c r="CQ34" s="100">
        <f t="shared" ref="CQ34" si="255">ABS(CO34/CP34)</f>
        <v>0.74495037454596702</v>
      </c>
      <c r="CR34" s="99">
        <f t="shared" ref="CR34" si="256">BN34-CH34</f>
        <v>-0.27801347884077865</v>
      </c>
      <c r="CS34" s="97">
        <f t="shared" ref="CS34" si="257">SQRT(BT34^2-CJ34^2)</f>
        <v>0.37319731399587858</v>
      </c>
      <c r="CT34" s="100">
        <f t="shared" ref="CT34" si="258">ABS(CR34/CS34)</f>
        <v>0.74495037454596713</v>
      </c>
    </row>
    <row r="35" spans="2:98" x14ac:dyDescent="0.3">
      <c r="B35" s="41"/>
      <c r="C35" s="57"/>
      <c r="D35" s="58"/>
      <c r="E35" s="59"/>
      <c r="F35" s="59"/>
      <c r="G35" s="59"/>
      <c r="H35" s="60"/>
      <c r="I35" s="61"/>
      <c r="J35" s="61"/>
      <c r="K35" s="60"/>
      <c r="L35" s="60"/>
      <c r="M35" s="61"/>
      <c r="N35" s="61"/>
      <c r="O35" s="62"/>
      <c r="P35" s="63"/>
      <c r="Q35" s="90"/>
      <c r="R35" s="91"/>
      <c r="S35" s="91"/>
      <c r="T35" s="104"/>
      <c r="U35" s="104"/>
      <c r="V35" s="91"/>
      <c r="W35" s="91"/>
      <c r="X35" s="105"/>
      <c r="Z35" s="45"/>
      <c r="AA35" s="98"/>
      <c r="AC35" s="12" t="s">
        <v>38</v>
      </c>
      <c r="AD35" s="46"/>
      <c r="AE35" s="10"/>
      <c r="AF35" s="64">
        <v>61.864800000000002</v>
      </c>
      <c r="AG35" s="51">
        <v>10.050105375992153</v>
      </c>
      <c r="AH35" s="42">
        <v>98986.77126436781</v>
      </c>
      <c r="AI35" s="42">
        <v>19.886500000000012</v>
      </c>
      <c r="AJ35" s="51">
        <v>1.1381301175528387</v>
      </c>
      <c r="AK35" s="42">
        <v>10.071135451626853</v>
      </c>
      <c r="AL35" s="43">
        <f t="shared" si="16"/>
        <v>0.20925228988082958</v>
      </c>
      <c r="AM35" s="6">
        <v>0.1</v>
      </c>
      <c r="AN35" s="101"/>
      <c r="AO35" s="94"/>
      <c r="AP35" s="94"/>
      <c r="AQ35" s="97"/>
      <c r="AR35" s="97"/>
      <c r="AS35" s="94"/>
      <c r="AT35" s="94"/>
      <c r="AU35" s="98"/>
      <c r="AV35" s="48"/>
      <c r="AW35" s="80"/>
      <c r="AX35" s="98"/>
      <c r="AY35" s="45"/>
      <c r="AZ35" s="71" t="s">
        <v>38</v>
      </c>
      <c r="BA35" s="9" t="s">
        <v>72</v>
      </c>
      <c r="BB35" s="81" t="s">
        <v>60</v>
      </c>
      <c r="BC35" s="81">
        <v>5</v>
      </c>
      <c r="BD35" s="85">
        <v>181.03076999999999</v>
      </c>
      <c r="BE35" s="43">
        <v>10.008187598275345</v>
      </c>
      <c r="BF35" s="85">
        <f t="shared" si="240"/>
        <v>0.5032749742278434</v>
      </c>
      <c r="BG35" s="85">
        <v>1095471.822237998</v>
      </c>
      <c r="BH35" s="85">
        <v>20.120096543620701</v>
      </c>
      <c r="BI35" s="85">
        <v>12.615042537000001</v>
      </c>
      <c r="BJ35" s="85">
        <v>9.9931805556133231</v>
      </c>
      <c r="BK35" s="85">
        <f t="shared" si="241"/>
        <v>0.50252032520325207</v>
      </c>
      <c r="BL35" s="43">
        <f t="shared" si="12"/>
        <v>-0.14994765550366493</v>
      </c>
      <c r="BM35" s="9">
        <v>0.39</v>
      </c>
      <c r="BN35" s="101"/>
      <c r="BO35" s="94"/>
      <c r="BP35" s="94"/>
      <c r="BQ35" s="97"/>
      <c r="BR35" s="97"/>
      <c r="BS35" s="94"/>
      <c r="BT35" s="94"/>
      <c r="BU35" s="98"/>
      <c r="BW35" s="45"/>
      <c r="BX35" s="98"/>
      <c r="BZ35" s="94"/>
      <c r="CA35" s="94"/>
      <c r="CB35" s="94"/>
      <c r="CC35" s="94"/>
      <c r="CD35" s="94"/>
      <c r="CE35" s="94"/>
      <c r="CG35" s="98"/>
      <c r="CH35" s="94"/>
      <c r="CI35" s="94"/>
      <c r="CJ35" s="94"/>
      <c r="CL35" s="97"/>
      <c r="CM35" s="97"/>
      <c r="CN35" s="100"/>
      <c r="CO35" s="99"/>
      <c r="CP35" s="97"/>
      <c r="CQ35" s="100"/>
      <c r="CR35" s="99"/>
      <c r="CS35" s="97"/>
      <c r="CT35" s="100"/>
    </row>
    <row r="36" spans="2:98" x14ac:dyDescent="0.3">
      <c r="B36" s="41"/>
      <c r="C36" s="57"/>
      <c r="D36" s="58"/>
      <c r="E36" s="59"/>
      <c r="F36" s="59"/>
      <c r="G36" s="59"/>
      <c r="H36" s="60"/>
      <c r="I36" s="61"/>
      <c r="J36" s="61"/>
      <c r="K36" s="60"/>
      <c r="L36" s="60"/>
      <c r="M36" s="61"/>
      <c r="N36" s="61"/>
      <c r="O36" s="62"/>
      <c r="P36" s="63"/>
      <c r="Q36" s="90"/>
      <c r="R36" s="91"/>
      <c r="S36" s="91"/>
      <c r="T36" s="104"/>
      <c r="U36" s="104"/>
      <c r="V36" s="91"/>
      <c r="W36" s="91"/>
      <c r="X36" s="105"/>
      <c r="Z36" s="45"/>
      <c r="AA36" s="98"/>
      <c r="AC36" s="12" t="s">
        <v>38</v>
      </c>
      <c r="AD36" s="46"/>
      <c r="AE36" s="10"/>
      <c r="AF36" s="64">
        <v>61.864800000000002</v>
      </c>
      <c r="AG36" s="51">
        <v>10.054869722190523</v>
      </c>
      <c r="AH36" s="42">
        <v>98942.797319347301</v>
      </c>
      <c r="AI36" s="42">
        <v>19.954999999999984</v>
      </c>
      <c r="AJ36" s="51">
        <v>1.1373586457861067</v>
      </c>
      <c r="AK36" s="42">
        <v>10.073500956136924</v>
      </c>
      <c r="AL36" s="43">
        <f t="shared" si="16"/>
        <v>0.1852956275035858</v>
      </c>
      <c r="AM36" s="6">
        <v>0.1</v>
      </c>
      <c r="AN36" s="101"/>
      <c r="AO36" s="94"/>
      <c r="AP36" s="94"/>
      <c r="AQ36" s="97"/>
      <c r="AR36" s="97"/>
      <c r="AS36" s="94"/>
      <c r="AT36" s="94"/>
      <c r="AU36" s="98"/>
      <c r="AV36" s="48"/>
      <c r="AW36" s="80"/>
      <c r="AX36" s="98"/>
      <c r="AY36" s="45"/>
      <c r="AZ36" s="71" t="s">
        <v>38</v>
      </c>
      <c r="BA36" s="9" t="s">
        <v>73</v>
      </c>
      <c r="BB36" s="81" t="s">
        <v>60</v>
      </c>
      <c r="BC36" s="81">
        <v>6</v>
      </c>
      <c r="BD36" s="85">
        <v>180.86600999999999</v>
      </c>
      <c r="BE36" s="43">
        <v>10.007684704380846</v>
      </c>
      <c r="BF36" s="85">
        <f t="shared" si="240"/>
        <v>0.50279166717205359</v>
      </c>
      <c r="BG36" s="85">
        <v>1095579.0629135829</v>
      </c>
      <c r="BH36" s="85">
        <v>20.0638077118141</v>
      </c>
      <c r="BI36" s="85">
        <v>12.6187688653</v>
      </c>
      <c r="BJ36" s="85">
        <v>9.9929790229929836</v>
      </c>
      <c r="BK36" s="85">
        <f t="shared" si="241"/>
        <v>0.5020528455284553</v>
      </c>
      <c r="BL36" s="43">
        <f t="shared" si="12"/>
        <v>-0.14694389184168086</v>
      </c>
      <c r="BM36" s="9">
        <v>0.39</v>
      </c>
      <c r="BN36" s="101"/>
      <c r="BO36" s="94"/>
      <c r="BP36" s="94"/>
      <c r="BQ36" s="97"/>
      <c r="BR36" s="97"/>
      <c r="BS36" s="94"/>
      <c r="BT36" s="94"/>
      <c r="BU36" s="98"/>
      <c r="BW36" s="45"/>
      <c r="BX36" s="98"/>
      <c r="BZ36" s="94"/>
      <c r="CA36" s="94"/>
      <c r="CB36" s="94"/>
      <c r="CC36" s="94"/>
      <c r="CD36" s="94"/>
      <c r="CE36" s="94"/>
      <c r="CG36" s="98"/>
      <c r="CH36" s="94"/>
      <c r="CI36" s="94"/>
      <c r="CJ36" s="94"/>
      <c r="CL36" s="97"/>
      <c r="CM36" s="97"/>
      <c r="CN36" s="100"/>
      <c r="CO36" s="99"/>
      <c r="CP36" s="97"/>
      <c r="CQ36" s="100"/>
      <c r="CR36" s="99"/>
      <c r="CS36" s="97"/>
      <c r="CT36" s="100"/>
    </row>
    <row r="37" spans="2:98" x14ac:dyDescent="0.3">
      <c r="B37" s="41"/>
      <c r="C37" s="57"/>
      <c r="D37" s="58"/>
      <c r="E37" s="59"/>
      <c r="F37" s="59"/>
      <c r="G37" s="59"/>
      <c r="H37" s="60"/>
      <c r="I37" s="61"/>
      <c r="J37" s="61"/>
      <c r="K37" s="60"/>
      <c r="L37" s="60"/>
      <c r="M37" s="61"/>
      <c r="N37" s="61"/>
      <c r="O37" s="62"/>
      <c r="P37" s="63"/>
      <c r="Q37" s="90"/>
      <c r="R37" s="91"/>
      <c r="S37" s="91"/>
      <c r="T37" s="104"/>
      <c r="U37" s="104"/>
      <c r="V37" s="91"/>
      <c r="W37" s="91"/>
      <c r="X37" s="105"/>
      <c r="Z37" s="45"/>
      <c r="AA37" s="98"/>
      <c r="AC37" s="12" t="s">
        <v>38</v>
      </c>
      <c r="AD37" s="46"/>
      <c r="AE37" s="10"/>
      <c r="AF37" s="64">
        <v>66.059399999999997</v>
      </c>
      <c r="AG37" s="51">
        <v>14.955187969873473</v>
      </c>
      <c r="AH37" s="42">
        <v>98946.515141612152</v>
      </c>
      <c r="AI37" s="42">
        <v>19.81450000000001</v>
      </c>
      <c r="AJ37" s="51">
        <v>1.1379468578589402</v>
      </c>
      <c r="AK37" s="42">
        <v>14.979866235687215</v>
      </c>
      <c r="AL37" s="43">
        <f t="shared" si="16"/>
        <v>0.1650147484836402</v>
      </c>
      <c r="AM37" s="6">
        <v>0.1</v>
      </c>
      <c r="AN37" s="101">
        <f>AVERAGE(AL37:AL39)</f>
        <v>0.16517972867665018</v>
      </c>
      <c r="AO37" s="94">
        <f>STDEV(AL37:AL39)</f>
        <v>3.086157168955091E-2</v>
      </c>
      <c r="AP37" s="94">
        <f>COUNT(AM37:AM39)</f>
        <v>3</v>
      </c>
      <c r="AQ37" s="97">
        <f t="shared" ref="AQ37" si="259">TINV(0.05,AP37-1)</f>
        <v>4.3026527297494637</v>
      </c>
      <c r="AR37" s="97">
        <f t="shared" ref="AR37" si="260">AO37*AQ37/SQRT(AP37)</f>
        <v>7.6664394077899795E-2</v>
      </c>
      <c r="AS37" s="94">
        <f>AVERAGE(AM37:AM39)</f>
        <v>0.10000000000000002</v>
      </c>
      <c r="AT37" s="94">
        <f t="shared" ref="AT37" si="261">SQRT(AR37^2+AS37^2)</f>
        <v>0.12600567177445435</v>
      </c>
      <c r="AU37" s="98">
        <f>AVERAGE(AG37:AG39)</f>
        <v>14.975031197971497</v>
      </c>
      <c r="AV37" s="48"/>
      <c r="AW37" s="80"/>
      <c r="AX37" s="98">
        <f t="shared" ref="AX37" si="262">AVERAGE(AG37:AG39)</f>
        <v>14.975031197971497</v>
      </c>
      <c r="AY37" s="45"/>
      <c r="AZ37" s="71" t="s">
        <v>38</v>
      </c>
      <c r="BA37" s="9" t="s">
        <v>68</v>
      </c>
      <c r="BB37" s="81" t="s">
        <v>61</v>
      </c>
      <c r="BC37" s="81">
        <v>108</v>
      </c>
      <c r="BD37" s="85">
        <v>180.38783000000001</v>
      </c>
      <c r="BE37" s="43">
        <v>15.027817899884932</v>
      </c>
      <c r="BF37" s="85">
        <f t="shared" ref="BF37:BF39" si="263">BE37/3600*BD37</f>
        <v>0.75300985016538891</v>
      </c>
      <c r="BG37" s="85">
        <v>1101176.16745847</v>
      </c>
      <c r="BH37" s="85">
        <v>19.885497789984701</v>
      </c>
      <c r="BI37" s="85">
        <v>12.691310254299999</v>
      </c>
      <c r="BJ37" s="85">
        <v>14.973023510023904</v>
      </c>
      <c r="BK37" s="85">
        <f t="shared" ref="BK37:BK39" si="264">BJ37/3600*BD37</f>
        <v>0.75026422764227652</v>
      </c>
      <c r="BL37" s="43">
        <f t="shared" si="12"/>
        <v>-0.36461973538717313</v>
      </c>
      <c r="BM37" s="9">
        <v>0.39</v>
      </c>
      <c r="BN37" s="101">
        <f t="shared" ref="BN37" si="265">AVERAGE(BL37:BL39)</f>
        <v>-0.36970779034565582</v>
      </c>
      <c r="BO37" s="94">
        <f t="shared" ref="BO37" si="266">STDEV(BL37:BL39)</f>
        <v>1.0000291690163893E-2</v>
      </c>
      <c r="BP37" s="94">
        <f t="shared" ref="BP37" si="267">COUNT(BM37:BM39)</f>
        <v>3</v>
      </c>
      <c r="BQ37" s="97">
        <f t="shared" ref="BQ37" si="268">TINV(0.05,BP37-1)</f>
        <v>4.3026527297494637</v>
      </c>
      <c r="BR37" s="97">
        <f t="shared" ref="BR37" si="269">BO37*BQ37/SQRT(BP37)</f>
        <v>2.4842101716039584E-2</v>
      </c>
      <c r="BS37" s="94">
        <v>0.4</v>
      </c>
      <c r="BT37" s="94">
        <f t="shared" ref="BT37" si="270">SQRT(BR37^2+BS37^2)</f>
        <v>0.40077067010657114</v>
      </c>
      <c r="BU37" s="98">
        <f t="shared" ref="BU37" si="271">AVERAGE(BF37:BF39)</f>
        <v>0.75403430573005747</v>
      </c>
      <c r="BW37" s="45"/>
      <c r="BX37" s="98">
        <f t="shared" ref="BX37" si="272">AVERAGE(BE37:BE39)</f>
        <v>15.033362722610841</v>
      </c>
      <c r="BZ37" s="94"/>
      <c r="CA37" s="94"/>
      <c r="CB37" s="94">
        <f>AN37*CC37</f>
        <v>10.403430262828255</v>
      </c>
      <c r="CC37" s="94">
        <f>1/AT37^2</f>
        <v>62.98248790076191</v>
      </c>
      <c r="CD37" s="94">
        <f t="shared" ref="CD37" si="273">BN37*CE37</f>
        <v>-2.3017955202224254</v>
      </c>
      <c r="CE37" s="94">
        <f t="shared" ref="CE37" si="274">1/BT37^2</f>
        <v>6.2259859822547341</v>
      </c>
      <c r="CG37" s="98">
        <f t="shared" ref="CG37" si="275">AVERAGE(AA37,AX37,BX37)</f>
        <v>15.004196960291168</v>
      </c>
      <c r="CH37" s="94">
        <f t="shared" ref="CH37" si="276">SUM(BZ37,CB37,CD37)/SUM(CA37,CC37,CE37)</f>
        <v>0.11706131183155484</v>
      </c>
      <c r="CI37" s="94">
        <f t="shared" ref="CI37" si="277">SUM(CA37,CC37,CE37)</f>
        <v>69.208473883016637</v>
      </c>
      <c r="CJ37" s="94">
        <f t="shared" ref="CJ37" si="278">SQRT(CI37^-1)</f>
        <v>0.12020439962159714</v>
      </c>
      <c r="CL37" s="97"/>
      <c r="CM37" s="97"/>
      <c r="CN37" s="100"/>
      <c r="CO37" s="99">
        <f>AN37-CH37</f>
        <v>4.8118416845095338E-2</v>
      </c>
      <c r="CP37" s="97">
        <f>SQRT(AT37^2-CJ37^2)</f>
        <v>3.7793274943340116E-2</v>
      </c>
      <c r="CQ37" s="100">
        <f t="shared" ref="CQ37" si="279">ABS(CO37/CP37)</f>
        <v>1.2732005076891255</v>
      </c>
      <c r="CR37" s="99">
        <f t="shared" ref="CR37" si="280">BN37-CH37</f>
        <v>-0.48676910217721064</v>
      </c>
      <c r="CS37" s="97">
        <f t="shared" ref="CS37" si="281">SQRT(BT37^2-CJ37^2)</f>
        <v>0.38231928061409809</v>
      </c>
      <c r="CT37" s="100">
        <f t="shared" ref="CT37" si="282">ABS(CR37/CS37)</f>
        <v>1.2732005076891248</v>
      </c>
    </row>
    <row r="38" spans="2:98" x14ac:dyDescent="0.3">
      <c r="B38" s="41"/>
      <c r="C38" s="57"/>
      <c r="D38" s="58"/>
      <c r="E38" s="59"/>
      <c r="F38" s="59"/>
      <c r="G38" s="59"/>
      <c r="H38" s="60"/>
      <c r="I38" s="61"/>
      <c r="J38" s="61"/>
      <c r="K38" s="60"/>
      <c r="L38" s="60"/>
      <c r="M38" s="61"/>
      <c r="N38" s="61"/>
      <c r="O38" s="62"/>
      <c r="P38" s="63"/>
      <c r="Q38" s="90"/>
      <c r="R38" s="91"/>
      <c r="S38" s="91"/>
      <c r="T38" s="104"/>
      <c r="U38" s="104"/>
      <c r="V38" s="91"/>
      <c r="W38" s="91"/>
      <c r="X38" s="105"/>
      <c r="Z38" s="45"/>
      <c r="AA38" s="98"/>
      <c r="AC38" s="12" t="s">
        <v>38</v>
      </c>
      <c r="AD38" s="46"/>
      <c r="AE38" s="10"/>
      <c r="AF38" s="64">
        <v>61.864800000000002</v>
      </c>
      <c r="AG38" s="51">
        <v>14.984256120634848</v>
      </c>
      <c r="AH38" s="42">
        <v>98994.874074074061</v>
      </c>
      <c r="AI38" s="42">
        <v>19.951999999999998</v>
      </c>
      <c r="AJ38" s="51">
        <v>1.1379689213566055</v>
      </c>
      <c r="AK38" s="42">
        <v>15.004395107379713</v>
      </c>
      <c r="AL38" s="43">
        <f t="shared" si="16"/>
        <v>0.13440097781785282</v>
      </c>
      <c r="AM38" s="6">
        <v>0.1</v>
      </c>
      <c r="AN38" s="101"/>
      <c r="AO38" s="94"/>
      <c r="AP38" s="94"/>
      <c r="AQ38" s="97"/>
      <c r="AR38" s="97"/>
      <c r="AS38" s="94"/>
      <c r="AT38" s="94"/>
      <c r="AU38" s="98"/>
      <c r="AV38" s="48"/>
      <c r="AW38" s="80"/>
      <c r="AX38" s="98"/>
      <c r="AY38" s="45"/>
      <c r="AZ38" s="71" t="s">
        <v>38</v>
      </c>
      <c r="BA38" s="9" t="s">
        <v>69</v>
      </c>
      <c r="BB38" s="81" t="s">
        <v>61</v>
      </c>
      <c r="BC38" s="81">
        <v>109</v>
      </c>
      <c r="BD38" s="85">
        <v>180.90919</v>
      </c>
      <c r="BE38" s="43">
        <v>15.03383128802705</v>
      </c>
      <c r="BF38" s="85">
        <f t="shared" si="263"/>
        <v>0.75548840025378616</v>
      </c>
      <c r="BG38" s="85">
        <v>1100483.77804493</v>
      </c>
      <c r="BH38" s="85">
        <v>20.0766090096505</v>
      </c>
      <c r="BI38" s="85">
        <v>12.674812971</v>
      </c>
      <c r="BJ38" s="85">
        <v>14.979217190572173</v>
      </c>
      <c r="BK38" s="85">
        <f t="shared" si="264"/>
        <v>0.75274390243902434</v>
      </c>
      <c r="BL38" s="43">
        <f t="shared" si="12"/>
        <v>-0.36327464641944007</v>
      </c>
      <c r="BM38" s="9">
        <v>0.39</v>
      </c>
      <c r="BN38" s="101"/>
      <c r="BO38" s="94"/>
      <c r="BP38" s="94"/>
      <c r="BQ38" s="97"/>
      <c r="BR38" s="97"/>
      <c r="BS38" s="94"/>
      <c r="BT38" s="94"/>
      <c r="BU38" s="98"/>
      <c r="BW38" s="45"/>
      <c r="BX38" s="98"/>
      <c r="BZ38" s="94"/>
      <c r="CA38" s="94"/>
      <c r="CB38" s="94"/>
      <c r="CC38" s="94"/>
      <c r="CD38" s="94"/>
      <c r="CE38" s="94"/>
      <c r="CG38" s="98"/>
      <c r="CH38" s="94"/>
      <c r="CI38" s="94"/>
      <c r="CJ38" s="94"/>
      <c r="CL38" s="97"/>
      <c r="CM38" s="97"/>
      <c r="CN38" s="100"/>
      <c r="CO38" s="99"/>
      <c r="CP38" s="97"/>
      <c r="CQ38" s="100"/>
      <c r="CR38" s="99"/>
      <c r="CS38" s="97"/>
      <c r="CT38" s="100"/>
    </row>
    <row r="39" spans="2:98" x14ac:dyDescent="0.3">
      <c r="B39" s="41"/>
      <c r="C39" s="57"/>
      <c r="D39" s="58"/>
      <c r="E39" s="59"/>
      <c r="F39" s="59"/>
      <c r="G39" s="59"/>
      <c r="H39" s="60"/>
      <c r="I39" s="61"/>
      <c r="J39" s="61"/>
      <c r="K39" s="60"/>
      <c r="L39" s="60"/>
      <c r="M39" s="61"/>
      <c r="N39" s="61"/>
      <c r="O39" s="62"/>
      <c r="P39" s="63"/>
      <c r="Q39" s="90"/>
      <c r="R39" s="91"/>
      <c r="S39" s="91"/>
      <c r="T39" s="104"/>
      <c r="U39" s="104"/>
      <c r="V39" s="91"/>
      <c r="W39" s="91"/>
      <c r="X39" s="105"/>
      <c r="Z39" s="45"/>
      <c r="AA39" s="98"/>
      <c r="AC39" s="12" t="s">
        <v>38</v>
      </c>
      <c r="AD39" s="46"/>
      <c r="AE39" s="10"/>
      <c r="AF39" s="64">
        <v>61.864800000000002</v>
      </c>
      <c r="AG39" s="51">
        <v>14.985649503406171</v>
      </c>
      <c r="AH39" s="42">
        <v>99039.588262910809</v>
      </c>
      <c r="AI39" s="42">
        <v>19.878499999999974</v>
      </c>
      <c r="AJ39" s="51">
        <v>1.1387684856308391</v>
      </c>
      <c r="AK39" s="42">
        <v>15.015039877675031</v>
      </c>
      <c r="AL39" s="43">
        <f t="shared" si="16"/>
        <v>0.19612345972845752</v>
      </c>
      <c r="AM39" s="6">
        <v>0.1</v>
      </c>
      <c r="AN39" s="101"/>
      <c r="AO39" s="94"/>
      <c r="AP39" s="94"/>
      <c r="AQ39" s="97"/>
      <c r="AR39" s="97"/>
      <c r="AS39" s="94"/>
      <c r="AT39" s="94"/>
      <c r="AU39" s="98"/>
      <c r="AV39" s="48"/>
      <c r="AW39" s="80"/>
      <c r="AX39" s="98"/>
      <c r="AY39" s="45"/>
      <c r="AZ39" s="71" t="s">
        <v>38</v>
      </c>
      <c r="BA39" s="9" t="s">
        <v>70</v>
      </c>
      <c r="BB39" s="81" t="s">
        <v>61</v>
      </c>
      <c r="BC39" s="81">
        <v>110</v>
      </c>
      <c r="BD39" s="85">
        <v>180.40281999999999</v>
      </c>
      <c r="BE39" s="43">
        <v>15.038438979920544</v>
      </c>
      <c r="BF39" s="85">
        <f t="shared" si="263"/>
        <v>0.75360466677099702</v>
      </c>
      <c r="BG39" s="85">
        <v>1099474.33941017</v>
      </c>
      <c r="BH39" s="85">
        <v>20.241873329399201</v>
      </c>
      <c r="BI39" s="85">
        <v>12.6558178335</v>
      </c>
      <c r="BJ39" s="85">
        <v>14.981108091001369</v>
      </c>
      <c r="BK39" s="85">
        <f t="shared" si="264"/>
        <v>0.75073170731707317</v>
      </c>
      <c r="BL39" s="43">
        <f t="shared" si="12"/>
        <v>-0.3812289892303542</v>
      </c>
      <c r="BM39" s="9">
        <v>0.39</v>
      </c>
      <c r="BN39" s="101"/>
      <c r="BO39" s="94"/>
      <c r="BP39" s="94"/>
      <c r="BQ39" s="97"/>
      <c r="BR39" s="97"/>
      <c r="BS39" s="94"/>
      <c r="BT39" s="94"/>
      <c r="BU39" s="98"/>
      <c r="BW39" s="45"/>
      <c r="BX39" s="98"/>
      <c r="BZ39" s="94"/>
      <c r="CA39" s="94"/>
      <c r="CB39" s="94"/>
      <c r="CC39" s="94"/>
      <c r="CD39" s="94"/>
      <c r="CE39" s="94"/>
      <c r="CG39" s="98"/>
      <c r="CH39" s="94"/>
      <c r="CI39" s="94"/>
      <c r="CJ39" s="94"/>
      <c r="CL39" s="97"/>
      <c r="CM39" s="97"/>
      <c r="CN39" s="100"/>
      <c r="CO39" s="99"/>
      <c r="CP39" s="97"/>
      <c r="CQ39" s="100"/>
      <c r="CR39" s="99"/>
      <c r="CS39" s="97"/>
      <c r="CT39" s="100"/>
    </row>
    <row r="40" spans="2:98" x14ac:dyDescent="0.3">
      <c r="C40" s="57"/>
      <c r="D40" s="58"/>
      <c r="E40" s="59"/>
      <c r="F40" s="59"/>
      <c r="G40" s="59"/>
      <c r="H40" s="60"/>
      <c r="I40" s="61"/>
      <c r="J40" s="61"/>
      <c r="K40" s="60"/>
      <c r="L40" s="60"/>
      <c r="M40" s="61"/>
      <c r="N40" s="61"/>
      <c r="O40" s="62"/>
      <c r="P40" s="63"/>
      <c r="Q40" s="90"/>
      <c r="R40" s="91"/>
      <c r="S40" s="91"/>
      <c r="T40" s="104"/>
      <c r="U40" s="104"/>
      <c r="V40" s="91"/>
      <c r="W40" s="91"/>
      <c r="X40" s="105"/>
      <c r="Z40" s="45"/>
      <c r="AA40" s="98"/>
      <c r="AC40" s="12" t="s">
        <v>38</v>
      </c>
      <c r="AD40" s="46"/>
      <c r="AE40" s="10"/>
      <c r="AF40" s="64">
        <v>63.962400000000002</v>
      </c>
      <c r="AG40" s="51">
        <v>19.89092223702955</v>
      </c>
      <c r="AH40" s="42">
        <v>99019.806756756807</v>
      </c>
      <c r="AI40" s="42">
        <v>19.816500000000019</v>
      </c>
      <c r="AJ40" s="51">
        <v>1.1387819831108443</v>
      </c>
      <c r="AK40" s="42">
        <v>19.902698933184219</v>
      </c>
      <c r="AL40" s="43">
        <f t="shared" si="16"/>
        <v>5.920638577906355E-2</v>
      </c>
      <c r="AM40" s="6">
        <v>0.1</v>
      </c>
      <c r="AN40" s="101">
        <f>AVERAGE(AL40:AL42)</f>
        <v>0.11217553196153179</v>
      </c>
      <c r="AO40" s="94">
        <f>STDEV(AL40:AL42)</f>
        <v>5.065027979845977E-2</v>
      </c>
      <c r="AP40" s="94">
        <f>COUNT(AM40:AM42)</f>
        <v>3</v>
      </c>
      <c r="AQ40" s="97">
        <f t="shared" ref="AQ40" si="283">TINV(0.05,AP40-1)</f>
        <v>4.3026527297494637</v>
      </c>
      <c r="AR40" s="97">
        <f t="shared" ref="AR40" si="284">AO40*AQ40/SQRT(AP40)</f>
        <v>0.12582227015805988</v>
      </c>
      <c r="AS40" s="94">
        <f>AVERAGE(AM40:AM42)</f>
        <v>0.10000000000000002</v>
      </c>
      <c r="AT40" s="94">
        <f t="shared" ref="AT40" si="285">SQRT(AR40^2+AS40^2)</f>
        <v>0.16072101190487759</v>
      </c>
      <c r="AU40" s="98">
        <f>AVERAGE(AG40:AG42)</f>
        <v>19.899342502863473</v>
      </c>
      <c r="AV40" s="48"/>
      <c r="AW40" s="80"/>
      <c r="AX40" s="98">
        <f t="shared" ref="AX40" si="286">AVERAGE(AG40:AG42)</f>
        <v>19.899342502863473</v>
      </c>
      <c r="AY40" s="45"/>
      <c r="AZ40" s="71" t="s">
        <v>38</v>
      </c>
      <c r="BA40" s="9" t="s">
        <v>65</v>
      </c>
      <c r="BB40" s="81" t="s">
        <v>61</v>
      </c>
      <c r="BC40" s="81">
        <v>117</v>
      </c>
      <c r="BD40" s="85">
        <v>180.40821</v>
      </c>
      <c r="BE40" s="43">
        <v>20.031898348355483</v>
      </c>
      <c r="BF40" s="85">
        <f t="shared" ref="BF40:BF42" si="287">BE40/3600*BD40</f>
        <v>1.0038663677579915</v>
      </c>
      <c r="BG40" s="85">
        <v>1102077.9087443901</v>
      </c>
      <c r="BH40" s="85">
        <v>20.224503976388899</v>
      </c>
      <c r="BI40" s="85">
        <v>12.682058854399999</v>
      </c>
      <c r="BJ40" s="85">
        <v>19.926760647490465</v>
      </c>
      <c r="BK40" s="85">
        <f t="shared" ref="BK40:BK42" si="288">BJ40/3600*BD40</f>
        <v>0.99859756097560992</v>
      </c>
      <c r="BL40" s="43">
        <f t="shared" si="12"/>
        <v>-0.52485140967007704</v>
      </c>
      <c r="BM40" s="9">
        <v>0.39</v>
      </c>
      <c r="BN40" s="101">
        <f t="shared" ref="BN40" si="289">AVERAGE(BL40:BL42)</f>
        <v>-0.48386982215165436</v>
      </c>
      <c r="BO40" s="94">
        <f t="shared" ref="BO40" si="290">STDEV(BL40:BL42)</f>
        <v>3.6008321410646561E-2</v>
      </c>
      <c r="BP40" s="94">
        <f t="shared" ref="BP40" si="291">COUNT(BM40:BM42)</f>
        <v>3</v>
      </c>
      <c r="BQ40" s="97">
        <f t="shared" ref="BQ40" si="292">TINV(0.05,BP40-1)</f>
        <v>4.3026527297494637</v>
      </c>
      <c r="BR40" s="97">
        <f t="shared" ref="BR40" si="293">BO40*BQ40/SQRT(BP40)</f>
        <v>8.9449629153013993E-2</v>
      </c>
      <c r="BS40" s="94">
        <v>0.4</v>
      </c>
      <c r="BT40" s="94">
        <f t="shared" ref="BT40" si="294">SQRT(BR40^2+BS40^2)</f>
        <v>0.40987953859104964</v>
      </c>
      <c r="BU40" s="98">
        <f t="shared" ref="BU40" si="295">AVERAGE(BF40:BF42)</f>
        <v>1.0088577652005954</v>
      </c>
      <c r="BW40" s="45"/>
      <c r="BX40" s="98">
        <f t="shared" ref="BX40" si="296">AVERAGE(BE40:BE42)</f>
        <v>20.024606934273873</v>
      </c>
      <c r="BZ40" s="94"/>
      <c r="CA40" s="94"/>
      <c r="CB40" s="94">
        <f>AN40*CC40</f>
        <v>4.3426299331331846</v>
      </c>
      <c r="CC40" s="94">
        <f>1/AT40^2</f>
        <v>38.712808909365343</v>
      </c>
      <c r="CD40" s="94">
        <f t="shared" ref="CD40" si="297">BN40*CE40</f>
        <v>-2.8801563204181915</v>
      </c>
      <c r="CE40" s="94">
        <f t="shared" ref="CE40" si="298">1/BT40^2</f>
        <v>5.9523371546727573</v>
      </c>
      <c r="CG40" s="98">
        <f t="shared" ref="CG40" si="299">AVERAGE(AA40,AX40,BX40)</f>
        <v>19.961974718568673</v>
      </c>
      <c r="CH40" s="94">
        <f t="shared" ref="CH40" si="300">SUM(BZ40,CB40,CD40)/SUM(CA40,CC40,CE40)</f>
        <v>3.2743061236566645E-2</v>
      </c>
      <c r="CI40" s="94">
        <f t="shared" ref="CI40" si="301">SUM(CA40,CC40,CE40)</f>
        <v>44.665146064038098</v>
      </c>
      <c r="CJ40" s="94">
        <f t="shared" ref="CJ40" si="302">SQRT(CI40^-1)</f>
        <v>0.14962894737256832</v>
      </c>
      <c r="CL40" s="97"/>
      <c r="CM40" s="97"/>
      <c r="CN40" s="100"/>
      <c r="CO40" s="99">
        <f>AN40-CH40</f>
        <v>7.9432470724965148E-2</v>
      </c>
      <c r="CP40" s="97">
        <f>SQRT(AT40^2-CJ40^2)</f>
        <v>5.8672155030346243E-2</v>
      </c>
      <c r="CQ40" s="100">
        <f t="shared" ref="CQ40" si="303">ABS(CO40/CP40)</f>
        <v>1.3538359155868966</v>
      </c>
      <c r="CR40" s="99">
        <f t="shared" ref="CR40" si="304">BN40-CH40</f>
        <v>-0.51661288338822098</v>
      </c>
      <c r="CS40" s="97">
        <f t="shared" ref="CS40" si="305">SQRT(BT40^2-CJ40^2)</f>
        <v>0.38159194732565954</v>
      </c>
      <c r="CT40" s="100">
        <f t="shared" ref="CT40" si="306">ABS(CR40/CS40)</f>
        <v>1.3538359155868962</v>
      </c>
    </row>
    <row r="41" spans="2:98" x14ac:dyDescent="0.3">
      <c r="C41" s="57"/>
      <c r="D41" s="58"/>
      <c r="E41" s="59"/>
      <c r="F41" s="59"/>
      <c r="G41" s="59"/>
      <c r="H41" s="60"/>
      <c r="I41" s="61"/>
      <c r="J41" s="61"/>
      <c r="K41" s="60"/>
      <c r="L41" s="60"/>
      <c r="M41" s="61"/>
      <c r="N41" s="61"/>
      <c r="O41" s="62"/>
      <c r="P41" s="63"/>
      <c r="Q41" s="90"/>
      <c r="R41" s="91"/>
      <c r="S41" s="91"/>
      <c r="T41" s="104"/>
      <c r="U41" s="104"/>
      <c r="V41" s="91"/>
      <c r="W41" s="91"/>
      <c r="X41" s="105"/>
      <c r="Z41" s="45"/>
      <c r="AA41" s="98"/>
      <c r="AC41" s="12" t="s">
        <v>38</v>
      </c>
      <c r="AD41" s="46"/>
      <c r="AE41" s="10"/>
      <c r="AF41" s="64">
        <v>61.864800000000002</v>
      </c>
      <c r="AG41" s="51">
        <v>19.897512699262016</v>
      </c>
      <c r="AH41" s="42">
        <v>99110.760416666701</v>
      </c>
      <c r="AI41" s="42">
        <v>19.877499999999998</v>
      </c>
      <c r="AJ41" s="51">
        <v>1.139590720184853</v>
      </c>
      <c r="AK41" s="42">
        <v>19.929375497347326</v>
      </c>
      <c r="AL41" s="43">
        <f t="shared" si="16"/>
        <v>0.16013457846161791</v>
      </c>
      <c r="AM41" s="6">
        <v>0.1</v>
      </c>
      <c r="AN41" s="101"/>
      <c r="AO41" s="94"/>
      <c r="AP41" s="94"/>
      <c r="AQ41" s="97"/>
      <c r="AR41" s="97"/>
      <c r="AS41" s="94"/>
      <c r="AT41" s="94"/>
      <c r="AU41" s="98"/>
      <c r="AV41" s="48"/>
      <c r="AW41" s="80"/>
      <c r="AX41" s="98"/>
      <c r="AY41" s="45"/>
      <c r="AZ41" s="71" t="s">
        <v>38</v>
      </c>
      <c r="BA41" s="9" t="s">
        <v>66</v>
      </c>
      <c r="BB41" s="81" t="s">
        <v>61</v>
      </c>
      <c r="BC41" s="81">
        <v>118</v>
      </c>
      <c r="BD41" s="85">
        <v>183.03190000000001</v>
      </c>
      <c r="BE41" s="43">
        <v>20.020542944888231</v>
      </c>
      <c r="BF41" s="85">
        <f t="shared" si="287"/>
        <v>1.0178883372873579</v>
      </c>
      <c r="BG41" s="85">
        <v>1101400.9286199498</v>
      </c>
      <c r="BH41" s="85">
        <v>20.173182166624699</v>
      </c>
      <c r="BI41" s="85">
        <v>12.6810996733</v>
      </c>
      <c r="BJ41" s="85">
        <v>19.9265544528097</v>
      </c>
      <c r="BK41" s="85">
        <f t="shared" si="288"/>
        <v>1.013109756097561</v>
      </c>
      <c r="BL41" s="43">
        <f t="shared" si="12"/>
        <v>-0.46946025558478061</v>
      </c>
      <c r="BM41" s="9">
        <v>0.39</v>
      </c>
      <c r="BN41" s="101"/>
      <c r="BO41" s="94"/>
      <c r="BP41" s="94"/>
      <c r="BQ41" s="97"/>
      <c r="BR41" s="97"/>
      <c r="BS41" s="94"/>
      <c r="BT41" s="94"/>
      <c r="BU41" s="98"/>
      <c r="BW41" s="45"/>
      <c r="BX41" s="98"/>
      <c r="BZ41" s="94"/>
      <c r="CA41" s="94"/>
      <c r="CB41" s="94"/>
      <c r="CC41" s="94"/>
      <c r="CD41" s="94"/>
      <c r="CE41" s="94"/>
      <c r="CG41" s="98"/>
      <c r="CH41" s="94"/>
      <c r="CI41" s="94"/>
      <c r="CJ41" s="94"/>
      <c r="CL41" s="97"/>
      <c r="CM41" s="97"/>
      <c r="CN41" s="100"/>
      <c r="CO41" s="99"/>
      <c r="CP41" s="97"/>
      <c r="CQ41" s="100"/>
      <c r="CR41" s="99"/>
      <c r="CS41" s="97"/>
      <c r="CT41" s="100"/>
    </row>
    <row r="42" spans="2:98" x14ac:dyDescent="0.3">
      <c r="C42" s="57"/>
      <c r="D42" s="58"/>
      <c r="E42" s="59"/>
      <c r="F42" s="59"/>
      <c r="G42" s="59"/>
      <c r="H42" s="60"/>
      <c r="I42" s="61"/>
      <c r="J42" s="61"/>
      <c r="K42" s="60"/>
      <c r="L42" s="60"/>
      <c r="M42" s="61"/>
      <c r="N42" s="61"/>
      <c r="O42" s="62"/>
      <c r="P42" s="63"/>
      <c r="Q42" s="90"/>
      <c r="R42" s="91"/>
      <c r="S42" s="91"/>
      <c r="T42" s="104"/>
      <c r="U42" s="104"/>
      <c r="V42" s="91"/>
      <c r="W42" s="91"/>
      <c r="X42" s="105"/>
      <c r="Z42" s="45"/>
      <c r="AA42" s="98"/>
      <c r="AC42" s="12" t="s">
        <v>38</v>
      </c>
      <c r="AD42" s="46"/>
      <c r="AE42" s="10"/>
      <c r="AF42" s="64">
        <v>61.864800000000002</v>
      </c>
      <c r="AG42" s="51">
        <v>19.909592572298855</v>
      </c>
      <c r="AH42" s="42">
        <v>99065.730303030359</v>
      </c>
      <c r="AI42" s="42">
        <v>19.949000000000012</v>
      </c>
      <c r="AJ42" s="51">
        <v>1.1387950860193503</v>
      </c>
      <c r="AK42" s="42">
        <v>19.932923754112434</v>
      </c>
      <c r="AL42" s="43">
        <f t="shared" si="16"/>
        <v>0.11718563164391392</v>
      </c>
      <c r="AM42" s="6">
        <v>0.1</v>
      </c>
      <c r="AN42" s="101"/>
      <c r="AO42" s="94"/>
      <c r="AP42" s="94"/>
      <c r="AQ42" s="97"/>
      <c r="AR42" s="97"/>
      <c r="AS42" s="94"/>
      <c r="AT42" s="94"/>
      <c r="AU42" s="98"/>
      <c r="AV42" s="48"/>
      <c r="AW42" s="80"/>
      <c r="AX42" s="98"/>
      <c r="AY42" s="45"/>
      <c r="AZ42" s="71" t="s">
        <v>38</v>
      </c>
      <c r="BA42" s="9" t="s">
        <v>67</v>
      </c>
      <c r="BB42" s="81" t="s">
        <v>61</v>
      </c>
      <c r="BC42" s="81">
        <v>119</v>
      </c>
      <c r="BD42" s="85">
        <v>180.67420999999999</v>
      </c>
      <c r="BE42" s="43">
        <v>20.021379509577894</v>
      </c>
      <c r="BF42" s="85">
        <f t="shared" si="287"/>
        <v>1.0048185905564369</v>
      </c>
      <c r="BG42" s="85">
        <v>1101202.95083161</v>
      </c>
      <c r="BH42" s="85">
        <v>20.181325931458101</v>
      </c>
      <c r="BI42" s="85">
        <v>12.678452807399999</v>
      </c>
      <c r="BJ42" s="85">
        <v>19.929822181310662</v>
      </c>
      <c r="BK42" s="85">
        <f t="shared" si="288"/>
        <v>1.0002235772357724</v>
      </c>
      <c r="BL42" s="43">
        <f t="shared" si="12"/>
        <v>-0.45729780120010549</v>
      </c>
      <c r="BM42" s="9">
        <v>0.39</v>
      </c>
      <c r="BN42" s="101"/>
      <c r="BO42" s="94"/>
      <c r="BP42" s="94"/>
      <c r="BQ42" s="97"/>
      <c r="BR42" s="97"/>
      <c r="BS42" s="94"/>
      <c r="BT42" s="94"/>
      <c r="BU42" s="98"/>
      <c r="BW42" s="45"/>
      <c r="BX42" s="98"/>
      <c r="BZ42" s="94"/>
      <c r="CA42" s="94"/>
      <c r="CB42" s="94"/>
      <c r="CC42" s="94"/>
      <c r="CD42" s="94"/>
      <c r="CE42" s="94"/>
      <c r="CG42" s="98"/>
      <c r="CH42" s="94"/>
      <c r="CI42" s="94"/>
      <c r="CJ42" s="94"/>
      <c r="CL42" s="97"/>
      <c r="CM42" s="97"/>
      <c r="CN42" s="100"/>
      <c r="CO42" s="99"/>
      <c r="CP42" s="97"/>
      <c r="CQ42" s="100"/>
      <c r="CR42" s="99"/>
      <c r="CS42" s="97"/>
      <c r="CT42" s="100"/>
    </row>
    <row r="43" spans="2:98" x14ac:dyDescent="0.3">
      <c r="C43" s="57"/>
      <c r="D43" s="58"/>
      <c r="E43" s="59"/>
      <c r="F43" s="59"/>
      <c r="G43" s="59"/>
      <c r="H43" s="60"/>
      <c r="I43" s="61"/>
      <c r="J43" s="61"/>
      <c r="K43" s="60"/>
      <c r="L43" s="60"/>
      <c r="M43" s="61"/>
      <c r="N43" s="61"/>
      <c r="O43" s="62"/>
      <c r="P43" s="63"/>
      <c r="Q43" s="90"/>
      <c r="R43" s="91"/>
      <c r="S43" s="91"/>
      <c r="T43" s="104"/>
      <c r="U43" s="104"/>
      <c r="V43" s="91"/>
      <c r="W43" s="91"/>
      <c r="X43" s="105"/>
      <c r="Z43" s="45"/>
      <c r="AA43" s="98"/>
      <c r="AC43" s="12" t="s">
        <v>38</v>
      </c>
      <c r="AD43" s="46"/>
      <c r="AE43" s="10"/>
      <c r="AF43" s="64">
        <v>61.864800000000002</v>
      </c>
      <c r="AG43" s="51">
        <v>25.046480035631514</v>
      </c>
      <c r="AH43" s="42">
        <v>99168.66212121211</v>
      </c>
      <c r="AI43" s="42">
        <v>19.975500000000011</v>
      </c>
      <c r="AJ43" s="51">
        <v>1.1398752634343523</v>
      </c>
      <c r="AK43" s="42">
        <v>24.993920653409116</v>
      </c>
      <c r="AL43" s="43">
        <f t="shared" si="16"/>
        <v>-0.20984738034097566</v>
      </c>
      <c r="AM43" s="6">
        <v>0.1</v>
      </c>
      <c r="AN43" s="101">
        <f>AVERAGE(AL43:AL45)</f>
        <v>-5.9054420460869651E-2</v>
      </c>
      <c r="AO43" s="94">
        <f>STDEV(AL43:AL45)</f>
        <v>0.14031942896100477</v>
      </c>
      <c r="AP43" s="94">
        <f>COUNT(AM43:AM45)</f>
        <v>3</v>
      </c>
      <c r="AQ43" s="97">
        <f t="shared" ref="AQ43" si="307">TINV(0.05,AP43-1)</f>
        <v>4.3026527297494637</v>
      </c>
      <c r="AR43" s="97">
        <f t="shared" ref="AR43" si="308">AO43*AQ43/SQRT(AP43)</f>
        <v>0.34857278517330353</v>
      </c>
      <c r="AS43" s="94">
        <f>AVERAGE(AM43:AM45)</f>
        <v>0.10000000000000002</v>
      </c>
      <c r="AT43" s="94">
        <f t="shared" ref="AT43" si="309">SQRT(AR43^2+AS43^2)</f>
        <v>0.36263340519521087</v>
      </c>
      <c r="AU43" s="98">
        <f>AVERAGE(AG43:AG45)</f>
        <v>25.058410425917796</v>
      </c>
      <c r="AV43" s="48"/>
      <c r="AW43" s="80"/>
      <c r="AX43" s="98">
        <f t="shared" ref="AX43" si="310">AVERAGE(AG43:AG45)</f>
        <v>25.058410425917796</v>
      </c>
      <c r="AY43" s="45"/>
      <c r="AZ43" s="71" t="s">
        <v>38</v>
      </c>
      <c r="BA43" s="9" t="s">
        <v>62</v>
      </c>
      <c r="BB43" s="81" t="s">
        <v>59</v>
      </c>
      <c r="BC43" s="81">
        <v>126</v>
      </c>
      <c r="BD43" s="85">
        <v>181.41389000000001</v>
      </c>
      <c r="BE43" s="43">
        <v>24.509981670182732</v>
      </c>
      <c r="BF43" s="85">
        <f t="shared" ref="BF43:BF45" si="311">BE43/3600*BD43</f>
        <v>1.2351253107268185</v>
      </c>
      <c r="BG43" s="85">
        <v>1096966.1861012541</v>
      </c>
      <c r="BH43" s="85">
        <v>20.333289401321199</v>
      </c>
      <c r="BI43" s="85">
        <v>12.622842984</v>
      </c>
      <c r="BJ43" s="85">
        <v>24.406257681489901</v>
      </c>
      <c r="BK43" s="85">
        <f t="shared" ref="BK43:BK45" si="312">BJ43/3600*BD43</f>
        <v>1.2298983739837399</v>
      </c>
      <c r="BL43" s="43">
        <f t="shared" si="12"/>
        <v>-0.42319080482633659</v>
      </c>
      <c r="BM43" s="9">
        <v>0.39</v>
      </c>
      <c r="BN43" s="101">
        <f>AVERAGE(BL43:BL45)</f>
        <v>-0.41208923207913645</v>
      </c>
      <c r="BO43" s="94">
        <f t="shared" ref="BO43" si="313">STDEV(BL43:BL45)</f>
        <v>9.6142461729479961E-3</v>
      </c>
      <c r="BP43" s="94">
        <f t="shared" ref="BP43" si="314">COUNT(BM43:BM45)</f>
        <v>3</v>
      </c>
      <c r="BQ43" s="97">
        <f t="shared" ref="BQ43" si="315">TINV(0.05,BP43-1)</f>
        <v>4.3026527297494637</v>
      </c>
      <c r="BR43" s="97">
        <f t="shared" ref="BR43" si="316">BO43*BQ43/SQRT(BP43)</f>
        <v>2.3883111488271411E-2</v>
      </c>
      <c r="BS43" s="94">
        <v>0.4</v>
      </c>
      <c r="BT43" s="94">
        <f t="shared" ref="BT43" si="317">SQRT(BR43^2+BS43^2)</f>
        <v>0.40071236943019523</v>
      </c>
      <c r="BU43" s="98">
        <f t="shared" ref="BU43" si="318">AVERAGE(BF43:BF45)</f>
        <v>1.2327971558224713</v>
      </c>
      <c r="BW43" s="45"/>
      <c r="BX43" s="98">
        <f t="shared" ref="BX43" si="319">AVERAGE(BE43:BE45)</f>
        <v>24.505569933852669</v>
      </c>
      <c r="BZ43" s="94"/>
      <c r="CA43" s="94"/>
      <c r="CB43" s="94">
        <f>AN43*CC43</f>
        <v>-0.44907284620768068</v>
      </c>
      <c r="CC43" s="94">
        <f>1/AT43^2</f>
        <v>7.604390030467628</v>
      </c>
      <c r="CD43" s="94">
        <f t="shared" ref="CD43" si="320">BN43*CE43</f>
        <v>-2.5664084061760724</v>
      </c>
      <c r="CE43" s="94">
        <f t="shared" ref="CE43" si="321">1/BT43^2</f>
        <v>6.2277977835713658</v>
      </c>
      <c r="CG43" s="98">
        <f t="shared" ref="CG43" si="322">AVERAGE(AA43,AX43,BX43)</f>
        <v>24.781990179885234</v>
      </c>
      <c r="CH43" s="94">
        <f t="shared" ref="CH43" si="323">SUM(BZ43,CB43,CD43)/SUM(CA43,CC43,CE43)</f>
        <v>-0.2180046492228212</v>
      </c>
      <c r="CI43" s="94">
        <f t="shared" ref="CI43" si="324">SUM(CA43,CC43,CE43)</f>
        <v>13.832187814038994</v>
      </c>
      <c r="CJ43" s="94">
        <f t="shared" ref="CJ43" si="325">SQRT(CI43^-1)</f>
        <v>0.26887756188983297</v>
      </c>
      <c r="CL43" s="97"/>
      <c r="CM43" s="97"/>
      <c r="CN43" s="100"/>
      <c r="CO43" s="99">
        <f>AN43-CH43</f>
        <v>0.15895022876195156</v>
      </c>
      <c r="CP43" s="97">
        <f>SQRT(AT43^2-CJ43^2)</f>
        <v>0.24332661851029169</v>
      </c>
      <c r="CQ43" s="100">
        <f t="shared" ref="CQ43" si="326">ABS(CO43/CP43)</f>
        <v>0.65323814441299455</v>
      </c>
      <c r="CR43" s="99">
        <f t="shared" ref="CR43" si="327">BN43-CH43</f>
        <v>-0.19408458285631525</v>
      </c>
      <c r="CS43" s="97">
        <f t="shared" ref="CS43" si="328">SQRT(BT43^2-CJ43^2)</f>
        <v>0.29711152742116942</v>
      </c>
      <c r="CT43" s="100">
        <f t="shared" ref="CT43" si="329">ABS(CR43/CS43)</f>
        <v>0.65323814441299455</v>
      </c>
    </row>
    <row r="44" spans="2:98" x14ac:dyDescent="0.3">
      <c r="C44" s="57"/>
      <c r="D44" s="58"/>
      <c r="E44" s="59"/>
      <c r="F44" s="59"/>
      <c r="G44" s="59"/>
      <c r="H44" s="60"/>
      <c r="I44" s="61"/>
      <c r="J44" s="61"/>
      <c r="K44" s="60"/>
      <c r="L44" s="60"/>
      <c r="M44" s="61"/>
      <c r="N44" s="61"/>
      <c r="O44" s="62"/>
      <c r="P44" s="63"/>
      <c r="Q44" s="90"/>
      <c r="R44" s="91"/>
      <c r="S44" s="91"/>
      <c r="T44" s="104"/>
      <c r="U44" s="104"/>
      <c r="V44" s="91"/>
      <c r="W44" s="91"/>
      <c r="X44" s="105"/>
      <c r="Z44" s="45"/>
      <c r="AA44" s="98"/>
      <c r="AC44" s="12" t="s">
        <v>38</v>
      </c>
      <c r="AD44" s="46"/>
      <c r="AE44" s="10"/>
      <c r="AF44" s="64">
        <v>66.059399999999997</v>
      </c>
      <c r="AG44" s="51">
        <v>25.057179020402167</v>
      </c>
      <c r="AH44" s="42">
        <v>99116.194008714607</v>
      </c>
      <c r="AI44" s="42">
        <v>19.850999999999999</v>
      </c>
      <c r="AJ44" s="51">
        <v>1.1397562705434354</v>
      </c>
      <c r="AK44" s="42">
        <v>25.048409867925962</v>
      </c>
      <c r="AL44" s="43">
        <f t="shared" si="16"/>
        <v>-3.4996567127787863E-2</v>
      </c>
      <c r="AM44" s="6">
        <v>0.1</v>
      </c>
      <c r="AN44" s="101"/>
      <c r="AO44" s="94"/>
      <c r="AP44" s="94"/>
      <c r="AQ44" s="97"/>
      <c r="AR44" s="97"/>
      <c r="AS44" s="94"/>
      <c r="AT44" s="94"/>
      <c r="AU44" s="98"/>
      <c r="AV44" s="48"/>
      <c r="AW44" s="80"/>
      <c r="AX44" s="98"/>
      <c r="AY44" s="45"/>
      <c r="AZ44" s="71" t="s">
        <v>38</v>
      </c>
      <c r="BA44" s="9" t="s">
        <v>63</v>
      </c>
      <c r="BB44" s="81" t="s">
        <v>59</v>
      </c>
      <c r="BC44" s="81">
        <v>127</v>
      </c>
      <c r="BD44" s="85">
        <v>180.63820999999999</v>
      </c>
      <c r="BE44" s="43">
        <v>24.503331697053792</v>
      </c>
      <c r="BF44" s="85">
        <f t="shared" si="311"/>
        <v>1.2295105491089053</v>
      </c>
      <c r="BG44" s="85">
        <v>1095074.0798872961</v>
      </c>
      <c r="BH44" s="85">
        <v>20.288695772417</v>
      </c>
      <c r="BI44" s="85">
        <v>12.602996560899999</v>
      </c>
      <c r="BJ44" s="85">
        <v>24.403717809421526</v>
      </c>
      <c r="BK44" s="85">
        <f t="shared" si="312"/>
        <v>1.2245121951219515</v>
      </c>
      <c r="BL44" s="43">
        <f t="shared" si="12"/>
        <v>-0.40653201313127346</v>
      </c>
      <c r="BM44" s="9">
        <v>0.39</v>
      </c>
      <c r="BN44" s="101"/>
      <c r="BO44" s="94"/>
      <c r="BP44" s="94"/>
      <c r="BQ44" s="97"/>
      <c r="BR44" s="97"/>
      <c r="BS44" s="94"/>
      <c r="BT44" s="94"/>
      <c r="BU44" s="98"/>
      <c r="BW44" s="45"/>
      <c r="BX44" s="98"/>
      <c r="BZ44" s="94"/>
      <c r="CA44" s="94"/>
      <c r="CB44" s="94"/>
      <c r="CC44" s="94"/>
      <c r="CD44" s="94"/>
      <c r="CE44" s="94"/>
      <c r="CG44" s="98"/>
      <c r="CH44" s="94"/>
      <c r="CI44" s="94"/>
      <c r="CJ44" s="94"/>
      <c r="CL44" s="97"/>
      <c r="CM44" s="97"/>
      <c r="CN44" s="100"/>
      <c r="CO44" s="99"/>
      <c r="CP44" s="97"/>
      <c r="CQ44" s="100"/>
      <c r="CR44" s="99"/>
      <c r="CS44" s="97"/>
      <c r="CT44" s="100"/>
    </row>
    <row r="45" spans="2:98" x14ac:dyDescent="0.3">
      <c r="C45" s="57"/>
      <c r="D45" s="58"/>
      <c r="E45" s="59"/>
      <c r="F45" s="59"/>
      <c r="G45" s="59"/>
      <c r="H45" s="60"/>
      <c r="I45" s="61"/>
      <c r="J45" s="61"/>
      <c r="K45" s="60"/>
      <c r="L45" s="60"/>
      <c r="M45" s="61"/>
      <c r="N45" s="61"/>
      <c r="O45" s="62"/>
      <c r="P45" s="63"/>
      <c r="Q45" s="90"/>
      <c r="R45" s="91"/>
      <c r="S45" s="91"/>
      <c r="T45" s="104"/>
      <c r="U45" s="104"/>
      <c r="V45" s="91"/>
      <c r="W45" s="91"/>
      <c r="X45" s="105"/>
      <c r="Z45" s="45"/>
      <c r="AA45" s="98"/>
      <c r="AC45" s="12" t="s">
        <v>38</v>
      </c>
      <c r="AD45" s="46"/>
      <c r="AE45" s="10"/>
      <c r="AF45" s="64">
        <v>61.864800000000002</v>
      </c>
      <c r="AG45" s="51">
        <v>25.071572221719709</v>
      </c>
      <c r="AH45" s="42">
        <v>99200.205244755198</v>
      </c>
      <c r="AI45" s="42">
        <v>19.899999999999977</v>
      </c>
      <c r="AJ45" s="51">
        <v>1.1405315952682689</v>
      </c>
      <c r="AK45" s="42">
        <v>25.088540833811955</v>
      </c>
      <c r="AL45" s="43">
        <f t="shared" si="16"/>
        <v>6.7680686086154587E-2</v>
      </c>
      <c r="AM45" s="6">
        <v>0.1</v>
      </c>
      <c r="AN45" s="101"/>
      <c r="AO45" s="94"/>
      <c r="AP45" s="94"/>
      <c r="AQ45" s="97"/>
      <c r="AR45" s="97"/>
      <c r="AS45" s="94"/>
      <c r="AT45" s="94"/>
      <c r="AU45" s="98"/>
      <c r="AV45" s="48"/>
      <c r="AW45" s="80"/>
      <c r="AX45" s="98"/>
      <c r="AY45" s="45"/>
      <c r="AZ45" s="71" t="s">
        <v>38</v>
      </c>
      <c r="BA45" s="9" t="s">
        <v>64</v>
      </c>
      <c r="BB45" s="81" t="s">
        <v>59</v>
      </c>
      <c r="BC45" s="81">
        <v>128</v>
      </c>
      <c r="BD45" s="85">
        <v>181.26141000000001</v>
      </c>
      <c r="BE45" s="43">
        <v>24.503396434321488</v>
      </c>
      <c r="BF45" s="85">
        <f t="shared" si="311"/>
        <v>1.2337556076316905</v>
      </c>
      <c r="BG45" s="85">
        <v>1096431.6781071848</v>
      </c>
      <c r="BH45" s="85">
        <v>20.286467148118799</v>
      </c>
      <c r="BI45" s="85">
        <v>12.6187563975</v>
      </c>
      <c r="BJ45" s="85">
        <v>24.403779131113158</v>
      </c>
      <c r="BK45" s="85">
        <f t="shared" si="312"/>
        <v>1.228739837398374</v>
      </c>
      <c r="BL45" s="43">
        <f t="shared" si="12"/>
        <v>-0.40654487827979913</v>
      </c>
      <c r="BM45" s="9">
        <v>0.39</v>
      </c>
      <c r="BN45" s="101"/>
      <c r="BO45" s="94"/>
      <c r="BP45" s="94"/>
      <c r="BQ45" s="97"/>
      <c r="BR45" s="97"/>
      <c r="BS45" s="94"/>
      <c r="BT45" s="94"/>
      <c r="BU45" s="98"/>
      <c r="BW45" s="45"/>
      <c r="BX45" s="98"/>
      <c r="BZ45" s="94"/>
      <c r="CA45" s="94"/>
      <c r="CB45" s="94"/>
      <c r="CC45" s="94"/>
      <c r="CD45" s="94"/>
      <c r="CE45" s="94"/>
      <c r="CG45" s="98"/>
      <c r="CH45" s="94"/>
      <c r="CI45" s="94"/>
      <c r="CJ45" s="94"/>
      <c r="CL45" s="97"/>
      <c r="CM45" s="97"/>
      <c r="CN45" s="100"/>
      <c r="CO45" s="99"/>
      <c r="CP45" s="97"/>
      <c r="CQ45" s="100"/>
      <c r="CR45" s="99"/>
      <c r="CS45" s="97"/>
      <c r="CT45" s="100"/>
    </row>
    <row r="46" spans="2:98" x14ac:dyDescent="0.3">
      <c r="C46" s="57"/>
      <c r="D46" s="58"/>
      <c r="E46" s="59"/>
      <c r="F46" s="59"/>
      <c r="G46" s="59"/>
      <c r="H46" s="60"/>
      <c r="I46" s="61"/>
      <c r="J46" s="61"/>
      <c r="K46" s="60"/>
      <c r="L46" s="60"/>
      <c r="M46" s="61"/>
      <c r="N46" s="61"/>
      <c r="O46" s="62"/>
      <c r="P46" s="63"/>
      <c r="Q46" s="90"/>
      <c r="R46" s="91"/>
      <c r="S46" s="91"/>
      <c r="T46" s="104"/>
      <c r="U46" s="104"/>
      <c r="V46" s="91"/>
      <c r="W46" s="91"/>
      <c r="X46" s="105"/>
      <c r="Z46" s="45"/>
      <c r="AA46" s="98"/>
      <c r="AC46" s="12" t="s">
        <v>38</v>
      </c>
      <c r="AD46" s="46"/>
      <c r="AE46" s="10"/>
      <c r="AF46" s="64">
        <v>61.864800000000002</v>
      </c>
      <c r="AG46" s="51">
        <v>30.016005584257154</v>
      </c>
      <c r="AH46" s="42">
        <v>99297.648842592607</v>
      </c>
      <c r="AI46" s="42">
        <v>19.945499999999981</v>
      </c>
      <c r="AJ46" s="51">
        <v>1.1414747011936943</v>
      </c>
      <c r="AK46" s="42">
        <v>30.012338471524533</v>
      </c>
      <c r="AL46" s="43">
        <f t="shared" si="16"/>
        <v>-1.2217190999407596E-2</v>
      </c>
      <c r="AM46" s="6">
        <v>0.1</v>
      </c>
      <c r="AN46" s="101">
        <f>AVERAGE(AL46:AL48)</f>
        <v>-9.4050011839998351E-2</v>
      </c>
      <c r="AO46" s="94">
        <f>STDEV(AL46:AL48)</f>
        <v>0.13068416176603487</v>
      </c>
      <c r="AP46" s="94">
        <f>COUNT(AM46:AM48)</f>
        <v>3</v>
      </c>
      <c r="AQ46" s="97">
        <f t="shared" ref="AQ46" si="330">TINV(0.05,AP46-1)</f>
        <v>4.3026527297494637</v>
      </c>
      <c r="AR46" s="97">
        <f t="shared" ref="AR46" si="331">AO46*AQ46/SQRT(AP46)</f>
        <v>0.32463745457148796</v>
      </c>
      <c r="AS46" s="94">
        <f>AVERAGE(AM46:AM48)</f>
        <v>0.10000000000000002</v>
      </c>
      <c r="AT46" s="94">
        <f t="shared" ref="AT46" si="332">SQRT(AR46^2+AS46^2)</f>
        <v>0.33969026614057535</v>
      </c>
      <c r="AU46" s="98">
        <f>AVERAGE(AG46:AG48)</f>
        <v>30.017613515365316</v>
      </c>
      <c r="AV46" s="48"/>
      <c r="AW46" s="80"/>
      <c r="AX46" s="98">
        <f t="shared" ref="AX46" si="333">AVERAGE(AG46:AG48)</f>
        <v>30.017613515365316</v>
      </c>
      <c r="AY46" s="45"/>
      <c r="AZ46" s="71" t="s">
        <v>38</v>
      </c>
      <c r="BA46" s="9" t="s">
        <v>56</v>
      </c>
      <c r="BB46" s="81" t="s">
        <v>59</v>
      </c>
      <c r="BC46" s="81">
        <v>120</v>
      </c>
      <c r="BD46" s="85">
        <v>180.47873999999999</v>
      </c>
      <c r="BE46" s="43">
        <v>29.029114798888266</v>
      </c>
      <c r="BF46" s="85">
        <f>BE46/3600*BD46</f>
        <v>1.4553161283940854</v>
      </c>
      <c r="BG46" s="85">
        <v>1119854.5039623899</v>
      </c>
      <c r="BH46" s="85">
        <v>20.384834434746299</v>
      </c>
      <c r="BI46" s="85">
        <v>12.884450745000001</v>
      </c>
      <c r="BJ46" s="85">
        <v>28.909695213151743</v>
      </c>
      <c r="BK46" s="85">
        <f>BJ46/3600*BD46</f>
        <v>1.4493292682926826</v>
      </c>
      <c r="BL46" s="43">
        <f>(BK46-BF46)/BF46*100</f>
        <v>-0.41137866780939225</v>
      </c>
      <c r="BM46" s="9">
        <v>0.39</v>
      </c>
      <c r="BN46" s="101">
        <f t="shared" ref="BN46" si="334">AVERAGE(BL46:BL48)</f>
        <v>-0.41567952962877985</v>
      </c>
      <c r="BO46" s="94">
        <f t="shared" ref="BO46" si="335">STDEV(BL46:BL48)</f>
        <v>7.8815210853875311E-3</v>
      </c>
      <c r="BP46" s="94">
        <f t="shared" ref="BP46" si="336">COUNT(BM46:BM48)</f>
        <v>3</v>
      </c>
      <c r="BQ46" s="97">
        <f t="shared" ref="BQ46" si="337">TINV(0.05,BP46-1)</f>
        <v>4.3026527297494637</v>
      </c>
      <c r="BR46" s="97">
        <f t="shared" ref="BR46" si="338">BO46*BQ46/SQRT(BP46)</f>
        <v>1.9578783754166568E-2</v>
      </c>
      <c r="BS46" s="94">
        <v>0.4</v>
      </c>
      <c r="BT46" s="94">
        <f t="shared" ref="BT46" si="339">SQRT(BR46^2+BS46^2)</f>
        <v>0.40047887431585261</v>
      </c>
      <c r="BU46" s="98">
        <f t="shared" ref="BU46" si="340">AVERAGE(BF46:BF48)</f>
        <v>1.4561816920139428</v>
      </c>
      <c r="BW46" s="45"/>
      <c r="BX46" s="98">
        <f t="shared" ref="BX46" si="341">AVERAGE(BE46:BE48)</f>
        <v>29.012929695783146</v>
      </c>
      <c r="BZ46" s="94"/>
      <c r="CA46" s="94"/>
      <c r="CB46" s="94">
        <f>AN46*CC46</f>
        <v>-0.81506576126365893</v>
      </c>
      <c r="CC46" s="94">
        <f>1/AT46^2</f>
        <v>8.6663015274286348</v>
      </c>
      <c r="CD46" s="94">
        <f t="shared" ref="CD46" si="342">BN46*CE46</f>
        <v>-2.5917876428188968</v>
      </c>
      <c r="CE46" s="94">
        <f>1/BT46^2</f>
        <v>6.2350620083059596</v>
      </c>
      <c r="CG46" s="98">
        <f t="shared" ref="CG46" si="343">AVERAGE(AA46,AX46,BX46)</f>
        <v>29.515271605574231</v>
      </c>
      <c r="CH46" s="94">
        <f>SUM(BZ46,CB46,CD46)/SUM(CA46,CC46,CE46)</f>
        <v>-0.2286269572521108</v>
      </c>
      <c r="CI46" s="94">
        <f t="shared" ref="CI46" si="344">SUM(CA46,CC46,CE46)</f>
        <v>14.901363535734594</v>
      </c>
      <c r="CJ46" s="94">
        <f t="shared" ref="CJ46" si="345">SQRT(CI46^-1)</f>
        <v>0.25905202710175279</v>
      </c>
      <c r="CL46" s="97"/>
      <c r="CM46" s="97"/>
      <c r="CN46" s="100"/>
      <c r="CO46" s="99">
        <f>AN46-CH46</f>
        <v>0.13457694541211246</v>
      </c>
      <c r="CP46" s="97">
        <f>SQRT(AT46^2-CJ46^2)</f>
        <v>0.21973057175806843</v>
      </c>
      <c r="CQ46" s="100">
        <f t="shared" ref="CQ46" si="346">ABS(CO46/CP46)</f>
        <v>0.61246345620165543</v>
      </c>
      <c r="CR46" s="99">
        <f t="shared" ref="CR46" si="347">BN46-CH46</f>
        <v>-0.18705257237666906</v>
      </c>
      <c r="CS46" s="97">
        <f t="shared" ref="CS46" si="348">SQRT(BT46^2-CJ46^2)</f>
        <v>0.30541017669318948</v>
      </c>
      <c r="CT46" s="100">
        <f t="shared" ref="CT46" si="349">ABS(CR46/CS46)</f>
        <v>0.61246345620165532</v>
      </c>
    </row>
    <row r="47" spans="2:98" x14ac:dyDescent="0.3">
      <c r="C47" s="57"/>
      <c r="D47" s="58"/>
      <c r="E47" s="59"/>
      <c r="F47" s="59"/>
      <c r="G47" s="59"/>
      <c r="H47" s="60"/>
      <c r="I47" s="61"/>
      <c r="J47" s="61"/>
      <c r="K47" s="60"/>
      <c r="L47" s="60"/>
      <c r="M47" s="61"/>
      <c r="N47" s="61"/>
      <c r="O47" s="62"/>
      <c r="P47" s="63"/>
      <c r="Q47" s="90"/>
      <c r="R47" s="91"/>
      <c r="S47" s="91"/>
      <c r="T47" s="104"/>
      <c r="U47" s="104"/>
      <c r="V47" s="91"/>
      <c r="W47" s="91"/>
      <c r="X47" s="105"/>
      <c r="Z47" s="45"/>
      <c r="AA47" s="98"/>
      <c r="AC47" s="12" t="s">
        <v>38</v>
      </c>
      <c r="AD47" s="46"/>
      <c r="AE47" s="10"/>
      <c r="AF47" s="64">
        <v>61.864800000000002</v>
      </c>
      <c r="AG47" s="51">
        <v>30.017527506754423</v>
      </c>
      <c r="AH47" s="42">
        <v>99301.320370370406</v>
      </c>
      <c r="AI47" s="42">
        <v>19.93950000000001</v>
      </c>
      <c r="AJ47" s="51">
        <v>1.1415402758233624</v>
      </c>
      <c r="AK47" s="42">
        <v>30.009972967014463</v>
      </c>
      <c r="AL47" s="43">
        <f t="shared" si="16"/>
        <v>-2.516709525213303E-2</v>
      </c>
      <c r="AM47" s="6">
        <v>0.1</v>
      </c>
      <c r="AN47" s="101"/>
      <c r="AO47" s="94"/>
      <c r="AP47" s="94"/>
      <c r="AQ47" s="97"/>
      <c r="AR47" s="97"/>
      <c r="AS47" s="94"/>
      <c r="AT47" s="94"/>
      <c r="AU47" s="98"/>
      <c r="AV47" s="48"/>
      <c r="AW47" s="80"/>
      <c r="AX47" s="98"/>
      <c r="AY47" s="45"/>
      <c r="AZ47" s="71" t="s">
        <v>38</v>
      </c>
      <c r="BA47" s="9" t="s">
        <v>57</v>
      </c>
      <c r="BB47" s="81" t="s">
        <v>59</v>
      </c>
      <c r="BC47" s="81">
        <v>121</v>
      </c>
      <c r="BD47" s="85">
        <v>180.99082000000001</v>
      </c>
      <c r="BE47" s="43">
        <v>29.016661361152284</v>
      </c>
      <c r="BF47" s="85">
        <f>BE47/3600*BD47</f>
        <v>1.4588192592825746</v>
      </c>
      <c r="BG47" s="85">
        <v>1119931.0096064499</v>
      </c>
      <c r="BH47" s="85">
        <v>20.263970480610901</v>
      </c>
      <c r="BI47" s="85">
        <v>12.890789977300001</v>
      </c>
      <c r="BJ47" s="85">
        <v>28.897436520301511</v>
      </c>
      <c r="BK47" s="85">
        <f>BJ47/3600*BD47</f>
        <v>1.4528252032520326</v>
      </c>
      <c r="BL47" s="43">
        <f>(BK47-BF47)/BF47*100</f>
        <v>-0.41088407576205332</v>
      </c>
      <c r="BM47" s="9">
        <v>0.39</v>
      </c>
      <c r="BN47" s="101"/>
      <c r="BO47" s="94"/>
      <c r="BP47" s="94"/>
      <c r="BQ47" s="97"/>
      <c r="BR47" s="97"/>
      <c r="BS47" s="94"/>
      <c r="BT47" s="94"/>
      <c r="BU47" s="98"/>
      <c r="BW47" s="45"/>
      <c r="BX47" s="98"/>
      <c r="BZ47" s="94"/>
      <c r="CA47" s="94"/>
      <c r="CB47" s="94"/>
      <c r="CC47" s="94"/>
      <c r="CD47" s="94"/>
      <c r="CE47" s="94"/>
      <c r="CG47" s="98"/>
      <c r="CH47" s="94"/>
      <c r="CI47" s="94"/>
      <c r="CJ47" s="94"/>
      <c r="CL47" s="97"/>
      <c r="CM47" s="97"/>
      <c r="CN47" s="100"/>
      <c r="CO47" s="99"/>
      <c r="CP47" s="97"/>
      <c r="CQ47" s="100"/>
      <c r="CR47" s="99"/>
      <c r="CS47" s="97"/>
      <c r="CT47" s="100"/>
    </row>
    <row r="48" spans="2:98" x14ac:dyDescent="0.3">
      <c r="C48" s="57"/>
      <c r="D48" s="58"/>
      <c r="E48" s="59"/>
      <c r="F48" s="59"/>
      <c r="G48" s="59"/>
      <c r="H48" s="60"/>
      <c r="I48" s="61"/>
      <c r="J48" s="61"/>
      <c r="K48" s="60"/>
      <c r="L48" s="60"/>
      <c r="M48" s="61"/>
      <c r="N48" s="61"/>
      <c r="O48" s="62"/>
      <c r="P48" s="63"/>
      <c r="Q48" s="90"/>
      <c r="R48" s="91"/>
      <c r="S48" s="91"/>
      <c r="T48" s="104"/>
      <c r="U48" s="104"/>
      <c r="V48" s="91"/>
      <c r="W48" s="91"/>
      <c r="X48" s="105"/>
      <c r="Z48" s="45"/>
      <c r="AA48" s="98"/>
      <c r="AC48" s="12" t="s">
        <v>38</v>
      </c>
      <c r="AD48" s="46"/>
      <c r="AE48" s="10"/>
      <c r="AF48" s="64">
        <v>62.913599999999995</v>
      </c>
      <c r="AG48" s="51">
        <v>30.01930745508437</v>
      </c>
      <c r="AH48" s="42">
        <v>99225.097488584506</v>
      </c>
      <c r="AI48" s="42">
        <v>19.930499999999995</v>
      </c>
      <c r="AJ48" s="51">
        <v>1.1406990666773213</v>
      </c>
      <c r="AK48" s="42">
        <v>29.945830472266731</v>
      </c>
      <c r="AL48" s="43">
        <f t="shared" si="16"/>
        <v>-0.24476574926845443</v>
      </c>
      <c r="AM48" s="6">
        <v>0.1</v>
      </c>
      <c r="AN48" s="101"/>
      <c r="AO48" s="94"/>
      <c r="AP48" s="94"/>
      <c r="AQ48" s="97"/>
      <c r="AR48" s="97"/>
      <c r="AS48" s="94"/>
      <c r="AT48" s="94"/>
      <c r="AU48" s="98"/>
      <c r="AV48" s="48"/>
      <c r="AW48" s="80"/>
      <c r="AX48" s="98"/>
      <c r="AY48" s="45"/>
      <c r="AZ48" s="71" t="s">
        <v>38</v>
      </c>
      <c r="BA48" s="9" t="s">
        <v>58</v>
      </c>
      <c r="BB48" s="81" t="s">
        <v>59</v>
      </c>
      <c r="BC48" s="81">
        <v>122</v>
      </c>
      <c r="BD48" s="85">
        <v>180.59092000000001</v>
      </c>
      <c r="BE48" s="43">
        <v>28.993012927308889</v>
      </c>
      <c r="BF48" s="85">
        <f>BE48/3600*BD48</f>
        <v>1.4544096883651683</v>
      </c>
      <c r="BG48" s="85">
        <v>1121857.5151967499</v>
      </c>
      <c r="BH48" s="85">
        <v>19.882750366655401</v>
      </c>
      <c r="BI48" s="85">
        <v>12.930310414199999</v>
      </c>
      <c r="BJ48" s="85">
        <v>28.869857611564655</v>
      </c>
      <c r="BK48" s="85">
        <f>BJ48/3600*BD48</f>
        <v>1.4482317073170734</v>
      </c>
      <c r="BL48" s="43">
        <f>(BK48-BF48)/BF48*100</f>
        <v>-0.4247758453148941</v>
      </c>
      <c r="BM48" s="9">
        <v>0.39</v>
      </c>
      <c r="BN48" s="101"/>
      <c r="BO48" s="94"/>
      <c r="BP48" s="94"/>
      <c r="BQ48" s="97"/>
      <c r="BR48" s="97"/>
      <c r="BS48" s="94"/>
      <c r="BT48" s="94"/>
      <c r="BU48" s="98"/>
      <c r="BW48" s="45"/>
      <c r="BX48" s="98"/>
      <c r="BZ48" s="94"/>
      <c r="CA48" s="94"/>
      <c r="CB48" s="94"/>
      <c r="CC48" s="94"/>
      <c r="CD48" s="94"/>
      <c r="CE48" s="94"/>
      <c r="CG48" s="98"/>
      <c r="CH48" s="94"/>
      <c r="CI48" s="94"/>
      <c r="CJ48" s="94"/>
      <c r="CL48" s="97"/>
      <c r="CM48" s="97"/>
      <c r="CN48" s="100"/>
      <c r="CO48" s="99"/>
      <c r="CP48" s="97"/>
      <c r="CQ48" s="100"/>
      <c r="CR48" s="99"/>
      <c r="CS48" s="97"/>
      <c r="CT48" s="100"/>
    </row>
    <row r="49" spans="2:98" x14ac:dyDescent="0.3">
      <c r="V49" s="7"/>
      <c r="W49" s="7"/>
      <c r="X49" s="7"/>
      <c r="Y49" s="7"/>
      <c r="Z49" s="7"/>
      <c r="AA49" s="7"/>
      <c r="AB49" s="7"/>
      <c r="BM49" s="21"/>
      <c r="BZ49" s="22"/>
    </row>
    <row r="50" spans="2:98" x14ac:dyDescent="0.3">
      <c r="V50" s="7"/>
      <c r="W50" s="7"/>
      <c r="X50" s="7"/>
      <c r="Y50" s="7"/>
      <c r="Z50" s="7"/>
      <c r="AA50" s="7"/>
      <c r="AB50" s="7"/>
      <c r="BM50" s="21"/>
      <c r="BZ50" s="22"/>
    </row>
    <row r="51" spans="2:98" x14ac:dyDescent="0.3">
      <c r="V51" s="7"/>
      <c r="W51" s="7"/>
      <c r="X51" s="7"/>
      <c r="Y51" s="7"/>
      <c r="Z51" s="7"/>
      <c r="AA51" s="7"/>
      <c r="AB51" s="7"/>
      <c r="BM51" s="21"/>
      <c r="BZ51" s="22"/>
    </row>
    <row r="52" spans="2:98" ht="15" customHeight="1" x14ac:dyDescent="0.3">
      <c r="V52" s="7"/>
      <c r="W52" s="7"/>
      <c r="X52" s="7"/>
      <c r="Y52" s="7"/>
      <c r="Z52" s="7"/>
      <c r="AA52" s="7"/>
      <c r="AB52" s="7"/>
      <c r="AC52" s="106" t="s">
        <v>50</v>
      </c>
      <c r="AD52" s="106"/>
      <c r="AE52" s="106"/>
      <c r="AF52" s="106"/>
      <c r="AG52" s="106"/>
      <c r="AH52" s="106"/>
      <c r="BM52" s="21"/>
      <c r="BZ52" s="22"/>
    </row>
    <row r="53" spans="2:98" x14ac:dyDescent="0.3">
      <c r="V53" s="7"/>
      <c r="W53" s="7"/>
      <c r="X53" s="7"/>
      <c r="Y53" s="7"/>
      <c r="Z53" s="7"/>
      <c r="AA53" s="7"/>
      <c r="AB53" s="7"/>
      <c r="AC53" s="106"/>
      <c r="AD53" s="106"/>
      <c r="AE53" s="106"/>
      <c r="AF53" s="106"/>
      <c r="AG53" s="106"/>
      <c r="AH53" s="106"/>
      <c r="BM53" s="21"/>
      <c r="BZ53" s="22"/>
    </row>
    <row r="54" spans="2:98" x14ac:dyDescent="0.3">
      <c r="V54" s="7"/>
      <c r="W54" s="7"/>
      <c r="X54" s="7"/>
      <c r="Y54" s="7"/>
      <c r="Z54" s="7"/>
      <c r="AA54" s="7"/>
      <c r="AB54" s="7"/>
      <c r="AC54" s="106"/>
      <c r="AD54" s="106"/>
      <c r="AE54" s="106"/>
      <c r="AF54" s="106"/>
      <c r="AG54" s="106"/>
      <c r="AH54" s="106"/>
      <c r="BM54" s="21"/>
      <c r="BZ54" s="22"/>
    </row>
    <row r="55" spans="2:98" x14ac:dyDescent="0.3">
      <c r="V55" s="7"/>
      <c r="W55" s="7"/>
      <c r="X55" s="7"/>
      <c r="Y55" s="7"/>
      <c r="Z55" s="7"/>
      <c r="AA55" s="7"/>
      <c r="AB55" s="7"/>
      <c r="AC55" s="106"/>
      <c r="AD55" s="106"/>
      <c r="AE55" s="106"/>
      <c r="AF55" s="106"/>
      <c r="AG55" s="106"/>
      <c r="AH55" s="106"/>
      <c r="BM55" s="21"/>
      <c r="BZ55" s="22"/>
    </row>
    <row r="56" spans="2:98" x14ac:dyDescent="0.3">
      <c r="V56" s="7"/>
      <c r="W56" s="7"/>
      <c r="X56" s="7"/>
      <c r="Y56" s="7"/>
      <c r="Z56" s="7"/>
      <c r="AA56" s="7"/>
      <c r="AB56" s="7"/>
      <c r="AC56" s="106"/>
      <c r="AD56" s="106"/>
      <c r="AE56" s="106"/>
      <c r="AF56" s="106"/>
      <c r="AG56" s="106"/>
      <c r="AH56" s="106"/>
      <c r="BM56" s="21"/>
      <c r="BZ56" s="22"/>
    </row>
    <row r="57" spans="2:98" x14ac:dyDescent="0.3">
      <c r="V57" s="7"/>
      <c r="W57" s="7"/>
      <c r="X57" s="7"/>
      <c r="Y57" s="7"/>
      <c r="Z57" s="7"/>
      <c r="AA57" s="7"/>
      <c r="AB57" s="7"/>
      <c r="BM57" s="21"/>
      <c r="BZ57" s="22"/>
    </row>
    <row r="58" spans="2:98" ht="21" x14ac:dyDescent="0.4">
      <c r="C58" s="1" t="s">
        <v>36</v>
      </c>
      <c r="E58" s="2"/>
      <c r="F58" s="2"/>
      <c r="G58" s="2"/>
      <c r="H58" s="1"/>
      <c r="I58" s="3"/>
      <c r="J58" s="3"/>
      <c r="K58" s="3"/>
      <c r="L58" s="3"/>
      <c r="M58" s="2"/>
      <c r="N58" s="2"/>
      <c r="O58" s="3"/>
      <c r="P58" s="3"/>
      <c r="Q58" s="3"/>
      <c r="AC58" s="1" t="s">
        <v>36</v>
      </c>
      <c r="AD58" s="1"/>
      <c r="AZ58" s="1" t="s">
        <v>36</v>
      </c>
      <c r="BA58" s="1"/>
      <c r="BB58" s="1"/>
      <c r="BM58" s="21"/>
      <c r="BZ58" s="102" t="s">
        <v>37</v>
      </c>
      <c r="CA58" s="102"/>
      <c r="CB58" s="103" t="s">
        <v>47</v>
      </c>
      <c r="CC58" s="103"/>
      <c r="CD58" s="96" t="s">
        <v>29</v>
      </c>
      <c r="CE58" s="96"/>
      <c r="CL58" s="102" t="s">
        <v>37</v>
      </c>
      <c r="CM58" s="102"/>
      <c r="CN58" s="102"/>
      <c r="CO58" s="103" t="s">
        <v>47</v>
      </c>
      <c r="CP58" s="103"/>
      <c r="CQ58" s="103"/>
      <c r="CR58" s="96" t="s">
        <v>29</v>
      </c>
      <c r="CS58" s="96"/>
      <c r="CT58" s="96"/>
    </row>
    <row r="59" spans="2:98" ht="46.8" x14ac:dyDescent="0.3">
      <c r="B59" t="s">
        <v>126</v>
      </c>
      <c r="C59" s="14" t="s">
        <v>33</v>
      </c>
      <c r="D59" s="14" t="s">
        <v>0</v>
      </c>
      <c r="E59" s="8" t="s">
        <v>1</v>
      </c>
      <c r="F59" s="8" t="s">
        <v>122</v>
      </c>
      <c r="G59" s="8" t="s">
        <v>123</v>
      </c>
      <c r="H59" s="15" t="s">
        <v>127</v>
      </c>
      <c r="I59" s="15" t="s">
        <v>2</v>
      </c>
      <c r="J59" s="15" t="s">
        <v>3</v>
      </c>
      <c r="K59" s="15" t="s">
        <v>4</v>
      </c>
      <c r="L59" s="15" t="s">
        <v>4</v>
      </c>
      <c r="M59" s="15" t="s">
        <v>41</v>
      </c>
      <c r="N59" s="15" t="s">
        <v>125</v>
      </c>
      <c r="O59" s="15" t="s">
        <v>5</v>
      </c>
      <c r="P59" s="4" t="s">
        <v>6</v>
      </c>
      <c r="Q59" s="30" t="s">
        <v>18</v>
      </c>
      <c r="R59" s="30" t="s">
        <v>19</v>
      </c>
      <c r="S59" s="30" t="s">
        <v>31</v>
      </c>
      <c r="T59" s="30" t="s">
        <v>32</v>
      </c>
      <c r="U59" s="30" t="s">
        <v>20</v>
      </c>
      <c r="V59" s="30" t="s">
        <v>21</v>
      </c>
      <c r="W59" s="30" t="s">
        <v>22</v>
      </c>
      <c r="X59" s="30" t="s">
        <v>46</v>
      </c>
      <c r="Z59" s="30" t="s">
        <v>45</v>
      </c>
      <c r="AA59" s="30" t="s">
        <v>46</v>
      </c>
      <c r="AC59" s="14" t="s">
        <v>33</v>
      </c>
      <c r="AD59" s="14" t="s">
        <v>0</v>
      </c>
      <c r="AE59" s="8" t="s">
        <v>1</v>
      </c>
      <c r="AF59" s="8" t="s">
        <v>43</v>
      </c>
      <c r="AG59" s="15" t="s">
        <v>39</v>
      </c>
      <c r="AH59" s="15" t="s">
        <v>2</v>
      </c>
      <c r="AI59" s="15" t="s">
        <v>3</v>
      </c>
      <c r="AJ59" s="15" t="s">
        <v>4</v>
      </c>
      <c r="AK59" s="15" t="s">
        <v>41</v>
      </c>
      <c r="AL59" s="15" t="s">
        <v>5</v>
      </c>
      <c r="AM59" s="4" t="s">
        <v>6</v>
      </c>
      <c r="AN59" s="30" t="s">
        <v>18</v>
      </c>
      <c r="AO59" s="30" t="s">
        <v>19</v>
      </c>
      <c r="AP59" s="30" t="s">
        <v>31</v>
      </c>
      <c r="AQ59" s="30" t="s">
        <v>32</v>
      </c>
      <c r="AR59" s="30" t="s">
        <v>20</v>
      </c>
      <c r="AS59" s="30" t="s">
        <v>21</v>
      </c>
      <c r="AT59" s="30" t="s">
        <v>22</v>
      </c>
      <c r="AU59" s="30" t="s">
        <v>46</v>
      </c>
      <c r="AW59" s="30" t="s">
        <v>45</v>
      </c>
      <c r="AX59" s="30" t="s">
        <v>46</v>
      </c>
      <c r="AY59" s="66" t="s">
        <v>134</v>
      </c>
      <c r="AZ59" s="14" t="s">
        <v>33</v>
      </c>
      <c r="BA59" s="14" t="s">
        <v>0</v>
      </c>
      <c r="BB59" s="14" t="s">
        <v>55</v>
      </c>
      <c r="BC59" s="8" t="s">
        <v>1</v>
      </c>
      <c r="BD59" s="8" t="s">
        <v>43</v>
      </c>
      <c r="BE59" s="15" t="s">
        <v>39</v>
      </c>
      <c r="BF59" s="15" t="s">
        <v>39</v>
      </c>
      <c r="BG59" s="15" t="s">
        <v>2</v>
      </c>
      <c r="BH59" s="15" t="s">
        <v>3</v>
      </c>
      <c r="BI59" s="15" t="s">
        <v>4</v>
      </c>
      <c r="BJ59" s="15" t="s">
        <v>41</v>
      </c>
      <c r="BK59" s="15" t="s">
        <v>41</v>
      </c>
      <c r="BL59" s="15" t="s">
        <v>5</v>
      </c>
      <c r="BM59" s="4" t="s">
        <v>6</v>
      </c>
      <c r="BN59" s="30" t="s">
        <v>18</v>
      </c>
      <c r="BO59" s="30" t="s">
        <v>19</v>
      </c>
      <c r="BP59" s="30" t="s">
        <v>31</v>
      </c>
      <c r="BQ59" s="30" t="s">
        <v>32</v>
      </c>
      <c r="BR59" s="30" t="s">
        <v>20</v>
      </c>
      <c r="BS59" s="30" t="s">
        <v>21</v>
      </c>
      <c r="BT59" s="30" t="s">
        <v>22</v>
      </c>
      <c r="BU59" s="30" t="s">
        <v>46</v>
      </c>
      <c r="BW59" s="30" t="s">
        <v>45</v>
      </c>
      <c r="BX59" s="30" t="s">
        <v>46</v>
      </c>
      <c r="BZ59" s="26" t="s">
        <v>12</v>
      </c>
      <c r="CA59" s="26" t="s">
        <v>11</v>
      </c>
      <c r="CB59" s="26" t="s">
        <v>12</v>
      </c>
      <c r="CC59" s="26" t="s">
        <v>11</v>
      </c>
      <c r="CD59" s="26" t="s">
        <v>12</v>
      </c>
      <c r="CE59" s="26" t="s">
        <v>11</v>
      </c>
      <c r="CG59" s="26" t="s">
        <v>51</v>
      </c>
      <c r="CH59" s="26" t="s">
        <v>13</v>
      </c>
      <c r="CI59" s="26" t="s">
        <v>14</v>
      </c>
      <c r="CJ59" s="26" t="s">
        <v>30</v>
      </c>
      <c r="CL59" s="26" t="s">
        <v>15</v>
      </c>
      <c r="CM59" s="26" t="s">
        <v>17</v>
      </c>
      <c r="CN59" s="26" t="s">
        <v>16</v>
      </c>
      <c r="CO59" s="26" t="s">
        <v>15</v>
      </c>
      <c r="CP59" s="26" t="s">
        <v>17</v>
      </c>
      <c r="CQ59" s="26" t="s">
        <v>16</v>
      </c>
      <c r="CR59" s="26" t="s">
        <v>15</v>
      </c>
      <c r="CS59" s="26" t="s">
        <v>17</v>
      </c>
      <c r="CT59" s="26" t="s">
        <v>16</v>
      </c>
    </row>
    <row r="60" spans="2:98" x14ac:dyDescent="0.3">
      <c r="C60" s="47" t="s">
        <v>7</v>
      </c>
      <c r="D60" s="16" t="s">
        <v>7</v>
      </c>
      <c r="E60" s="17" t="s">
        <v>7</v>
      </c>
      <c r="F60" s="17" t="s">
        <v>44</v>
      </c>
      <c r="G60" s="17" t="s">
        <v>124</v>
      </c>
      <c r="H60" s="18" t="s">
        <v>35</v>
      </c>
      <c r="I60" s="18" t="s">
        <v>42</v>
      </c>
      <c r="J60" s="18" t="s">
        <v>8</v>
      </c>
      <c r="K60" s="18" t="s">
        <v>10</v>
      </c>
      <c r="L60" s="18" t="s">
        <v>128</v>
      </c>
      <c r="M60" s="18" t="s">
        <v>40</v>
      </c>
      <c r="N60" s="18" t="s">
        <v>44</v>
      </c>
      <c r="O60" s="18" t="s">
        <v>9</v>
      </c>
      <c r="P60" s="5" t="s">
        <v>9</v>
      </c>
      <c r="Q60" s="31" t="s">
        <v>9</v>
      </c>
      <c r="R60" s="32"/>
      <c r="S60" s="32"/>
      <c r="T60" s="32"/>
      <c r="U60" s="33" t="s">
        <v>9</v>
      </c>
      <c r="V60" s="20" t="s">
        <v>9</v>
      </c>
      <c r="W60" s="20" t="s">
        <v>9</v>
      </c>
      <c r="X60" s="20" t="s">
        <v>35</v>
      </c>
      <c r="Z60" s="20" t="s">
        <v>35</v>
      </c>
      <c r="AA60" s="20" t="s">
        <v>35</v>
      </c>
      <c r="AC60" s="47" t="s">
        <v>7</v>
      </c>
      <c r="AD60" s="47" t="s">
        <v>7</v>
      </c>
      <c r="AE60" s="52" t="s">
        <v>7</v>
      </c>
      <c r="AF60" s="52" t="s">
        <v>44</v>
      </c>
      <c r="AG60" s="53" t="s">
        <v>35</v>
      </c>
      <c r="AH60" s="53" t="s">
        <v>42</v>
      </c>
      <c r="AI60" s="53" t="s">
        <v>8</v>
      </c>
      <c r="AJ60" s="53" t="s">
        <v>10</v>
      </c>
      <c r="AK60" s="53" t="s">
        <v>35</v>
      </c>
      <c r="AL60" s="53" t="s">
        <v>9</v>
      </c>
      <c r="AM60" s="54" t="s">
        <v>9</v>
      </c>
      <c r="AN60" s="31" t="s">
        <v>9</v>
      </c>
      <c r="AO60" s="32"/>
      <c r="AP60" s="32"/>
      <c r="AQ60" s="32"/>
      <c r="AR60" s="33" t="s">
        <v>9</v>
      </c>
      <c r="AS60" s="20" t="s">
        <v>9</v>
      </c>
      <c r="AT60" s="20" t="s">
        <v>9</v>
      </c>
      <c r="AU60" s="20" t="s">
        <v>40</v>
      </c>
      <c r="AW60" s="20" t="s">
        <v>35</v>
      </c>
      <c r="AX60" s="20" t="s">
        <v>35</v>
      </c>
      <c r="AY60" s="67"/>
      <c r="AZ60" s="47" t="s">
        <v>7</v>
      </c>
      <c r="BA60" s="47" t="s">
        <v>7</v>
      </c>
      <c r="BB60" s="47" t="s">
        <v>7</v>
      </c>
      <c r="BC60" s="52" t="s">
        <v>7</v>
      </c>
      <c r="BD60" s="52" t="s">
        <v>44</v>
      </c>
      <c r="BE60" s="53" t="s">
        <v>35</v>
      </c>
      <c r="BF60" s="53" t="s">
        <v>40</v>
      </c>
      <c r="BG60" s="53" t="s">
        <v>42</v>
      </c>
      <c r="BH60" s="53" t="s">
        <v>8</v>
      </c>
      <c r="BI60" s="53" t="s">
        <v>10</v>
      </c>
      <c r="BJ60" s="53" t="s">
        <v>35</v>
      </c>
      <c r="BK60" s="53" t="s">
        <v>40</v>
      </c>
      <c r="BL60" s="53" t="s">
        <v>9</v>
      </c>
      <c r="BM60" s="54" t="s">
        <v>9</v>
      </c>
      <c r="BN60" s="31" t="s">
        <v>9</v>
      </c>
      <c r="BO60" s="32"/>
      <c r="BP60" s="32"/>
      <c r="BQ60" s="32"/>
      <c r="BR60" s="33" t="s">
        <v>9</v>
      </c>
      <c r="BS60" s="20" t="s">
        <v>9</v>
      </c>
      <c r="BT60" s="20" t="s">
        <v>9</v>
      </c>
      <c r="BU60" s="20" t="s">
        <v>40</v>
      </c>
      <c r="BW60" s="20" t="s">
        <v>35</v>
      </c>
      <c r="BX60" s="20" t="s">
        <v>35</v>
      </c>
      <c r="BZ60" s="25"/>
      <c r="CA60" s="25"/>
      <c r="CB60" s="25"/>
      <c r="CC60" s="25"/>
      <c r="CD60" s="25"/>
      <c r="CE60" s="25"/>
      <c r="CG60" s="25" t="s">
        <v>35</v>
      </c>
      <c r="CH60" s="25" t="s">
        <v>9</v>
      </c>
      <c r="CI60" s="25"/>
      <c r="CJ60" s="25"/>
      <c r="CL60" s="25"/>
      <c r="CM60" s="25"/>
      <c r="CN60" s="25" t="s">
        <v>9</v>
      </c>
      <c r="CO60" s="25"/>
      <c r="CP60" s="25"/>
      <c r="CQ60" s="25" t="s">
        <v>9</v>
      </c>
      <c r="CR60" s="25"/>
      <c r="CS60" s="25"/>
      <c r="CT60" s="25" t="s">
        <v>9</v>
      </c>
    </row>
    <row r="61" spans="2:98" x14ac:dyDescent="0.3">
      <c r="B61" s="87">
        <v>45477.444953703707</v>
      </c>
      <c r="C61" s="12" t="s">
        <v>34</v>
      </c>
      <c r="D61" s="46"/>
      <c r="E61" s="10"/>
      <c r="F61" s="10">
        <v>73.596000000000004</v>
      </c>
      <c r="G61" s="10">
        <v>2064.1922557687303</v>
      </c>
      <c r="H61" s="42">
        <v>0.10075708790380981</v>
      </c>
      <c r="I61" s="64">
        <v>101284.76241123087</v>
      </c>
      <c r="J61" s="42">
        <v>20.25964330781202</v>
      </c>
      <c r="K61" s="42"/>
      <c r="L61" s="51">
        <v>1.1633343486838577</v>
      </c>
      <c r="M61" s="42">
        <v>0.100040932750287</v>
      </c>
      <c r="N61" s="42">
        <v>73.872201100782149</v>
      </c>
      <c r="O61" s="43">
        <f t="shared" ref="O61:O75" si="350">(M61-H61)/H61*100</f>
        <v>-0.71077396977422602</v>
      </c>
      <c r="P61" s="6">
        <v>0.2</v>
      </c>
      <c r="Q61" s="101">
        <f t="shared" ref="Q61" si="351">AVERAGE(O61:O63)</f>
        <v>-0.77332918276066531</v>
      </c>
      <c r="R61" s="94">
        <f t="shared" ref="R61" si="352">STDEV(O61:O63)</f>
        <v>0.10020784730907532</v>
      </c>
      <c r="S61" s="94">
        <f t="shared" ref="S61" si="353">COUNT(P61:P63)</f>
        <v>3</v>
      </c>
      <c r="T61" s="97">
        <f t="shared" ref="T61" si="354">TINV(0.05,S61-1)</f>
        <v>4.3026527297494637</v>
      </c>
      <c r="U61" s="97">
        <f>R61*T61/SQRT(S61)</f>
        <v>0.24893009251379294</v>
      </c>
      <c r="V61" s="94">
        <f t="shared" ref="V61" si="355">AVERAGE(P61:P63)</f>
        <v>0.20000000000000004</v>
      </c>
      <c r="W61" s="94">
        <f t="shared" ref="W61" si="356">SQRT(U61^2+V61^2)</f>
        <v>0.31932145395968237</v>
      </c>
      <c r="X61" s="98">
        <f t="shared" ref="X61" si="357">AVERAGE(H61:H63)</f>
        <v>0.10076667174961189</v>
      </c>
      <c r="Z61" s="45">
        <f>H61</f>
        <v>0.10075708790380981</v>
      </c>
      <c r="AA61" s="98">
        <f t="shared" ref="AA61:AA73" si="358">AVERAGE(Z61:Z63)</f>
        <v>0.10076667174961189</v>
      </c>
      <c r="AC61" s="12" t="s">
        <v>34</v>
      </c>
      <c r="AD61" s="46"/>
      <c r="AE61" s="10"/>
      <c r="AF61" s="64">
        <v>1901.088</v>
      </c>
      <c r="AG61" s="13">
        <v>9.642301979037031E-2</v>
      </c>
      <c r="AH61" s="68">
        <v>98760.640975471411</v>
      </c>
      <c r="AI61" s="49">
        <v>19.790500000000009</v>
      </c>
      <c r="AJ61" s="69">
        <v>1.78449681159572</v>
      </c>
      <c r="AK61" s="70">
        <v>9.4182268515610471E-2</v>
      </c>
      <c r="AL61" s="50">
        <f>(AK61-AG61)/AG61*100</f>
        <v>-2.3238758541594868</v>
      </c>
      <c r="AM61" s="6">
        <v>0.1</v>
      </c>
      <c r="AN61" s="101">
        <f>AVERAGE(AL61:AL63)</f>
        <v>-0.59351850903736147</v>
      </c>
      <c r="AO61" s="94">
        <f>STDEV(AL61:AL63)</f>
        <v>2.3860766343581541</v>
      </c>
      <c r="AP61" s="94">
        <f>COUNT(AM61:AM63)</f>
        <v>3</v>
      </c>
      <c r="AQ61" s="97">
        <f t="shared" ref="AQ61" si="359">TINV(0.05,AP61-1)</f>
        <v>4.3026527297494637</v>
      </c>
      <c r="AR61" s="97">
        <f>AO61*AQ61/SQRT(AP61)</f>
        <v>5.9273429505353956</v>
      </c>
      <c r="AS61" s="94">
        <f>AVERAGE(AM61:AM63)</f>
        <v>0.10000000000000002</v>
      </c>
      <c r="AT61" s="94">
        <f t="shared" ref="AT61" si="360">SQRT(AR61^2+AS61^2)</f>
        <v>5.9281864388075425</v>
      </c>
      <c r="AU61" s="98">
        <f>AVERAGE(AG61:AG63)</f>
        <v>9.7932527542691702E-2</v>
      </c>
      <c r="AW61" s="45"/>
      <c r="AX61" s="98">
        <f>AVERAGE(AG61:AG63)</f>
        <v>9.7932527542691702E-2</v>
      </c>
      <c r="AY61" s="92">
        <f>ABS(AN61-Q61)/SQRT(SUMSQ(W61,AT61))</f>
        <v>3.0287574044633402E-2</v>
      </c>
      <c r="AZ61" s="71" t="s">
        <v>34</v>
      </c>
      <c r="BA61" s="84"/>
      <c r="BB61" s="56"/>
      <c r="BC61" s="84"/>
      <c r="BD61" s="84"/>
      <c r="BE61" s="60"/>
      <c r="BF61" s="84"/>
      <c r="BG61" s="84"/>
      <c r="BH61" s="84"/>
      <c r="BI61" s="84"/>
      <c r="BJ61" s="84"/>
      <c r="BK61" s="84"/>
      <c r="BL61" s="62"/>
      <c r="BM61" s="84"/>
      <c r="BN61" s="101"/>
      <c r="BO61" s="94"/>
      <c r="BP61" s="94"/>
      <c r="BQ61" s="97"/>
      <c r="BR61" s="97"/>
      <c r="BS61" s="94"/>
      <c r="BT61" s="94"/>
      <c r="BU61" s="98"/>
      <c r="BW61" s="45"/>
      <c r="BX61" s="98"/>
      <c r="BZ61" s="94">
        <f>Q61*CA61</f>
        <v>-7.5841725133400448</v>
      </c>
      <c r="CA61" s="94">
        <f t="shared" ref="CA61" si="361">1/W61^2</f>
        <v>9.8071722655877593</v>
      </c>
      <c r="CB61" s="94">
        <f>AN61*CC61</f>
        <v>-1.6888479848658364E-2</v>
      </c>
      <c r="CC61" s="94">
        <f t="shared" ref="CC61" si="362">1/AT61^2</f>
        <v>2.8454849497533106E-2</v>
      </c>
      <c r="CD61" s="94"/>
      <c r="CE61" s="94"/>
      <c r="CG61" s="98">
        <f>AVERAGE(AA61,AX61,BX61)</f>
        <v>9.9349599646151796E-2</v>
      </c>
      <c r="CH61" s="94">
        <f t="shared" ref="CH61" si="363">SUM(BZ61,CB61,CD61)/SUM(CA61,CC61,CE61)</f>
        <v>-0.77280898352995242</v>
      </c>
      <c r="CI61" s="94">
        <f t="shared" ref="CI61" si="364">SUM(CA61,CC61,CE61)</f>
        <v>9.835627115085293</v>
      </c>
      <c r="CJ61" s="94">
        <f t="shared" ref="CJ61" si="365">SQRT(CI61^-1)</f>
        <v>0.31885921474278101</v>
      </c>
      <c r="CL61" s="97">
        <f t="shared" ref="CL61" si="366">Q61-CH61</f>
        <v>-5.201992307128922E-4</v>
      </c>
      <c r="CM61" s="97">
        <f t="shared" ref="CM61" si="367">SQRT(W61^2-CJ61^2)</f>
        <v>1.7175335005251674E-2</v>
      </c>
      <c r="CN61" s="100">
        <f t="shared" ref="CN61" si="368">ABS(CL61/CM61)</f>
        <v>3.028757404463038E-2</v>
      </c>
      <c r="CO61" s="99">
        <f t="shared" ref="CO61" si="369">AN61-CH61</f>
        <v>0.17929047449259095</v>
      </c>
      <c r="CP61" s="97">
        <f t="shared" ref="CP61" si="370">SQRT(AT61^2-CJ61^2)</f>
        <v>5.9196049914192139</v>
      </c>
      <c r="CQ61" s="100">
        <f t="shared" ref="CQ61" si="371">ABS(CO61/CP61)</f>
        <v>3.0287574044633406E-2</v>
      </c>
      <c r="CR61" s="99"/>
      <c r="CS61" s="97"/>
      <c r="CT61" s="100"/>
    </row>
    <row r="62" spans="2:98" x14ac:dyDescent="0.3">
      <c r="B62" s="87">
        <v>45477.446168981478</v>
      </c>
      <c r="C62" s="12" t="s">
        <v>34</v>
      </c>
      <c r="D62" s="46"/>
      <c r="E62" s="10"/>
      <c r="F62" s="10">
        <v>73.587999999999994</v>
      </c>
      <c r="G62" s="10">
        <v>2064.1922557687303</v>
      </c>
      <c r="H62" s="42">
        <v>0.10076321458341791</v>
      </c>
      <c r="I62" s="64">
        <v>101275.55005295822</v>
      </c>
      <c r="J62" s="42">
        <v>20.265026724441405</v>
      </c>
      <c r="K62" s="42"/>
      <c r="L62" s="51">
        <v>1.1632071126066059</v>
      </c>
      <c r="M62" s="42">
        <v>0.10003741184159992</v>
      </c>
      <c r="N62" s="42">
        <v>73.87480110082015</v>
      </c>
      <c r="O62" s="43">
        <f t="shared" si="350"/>
        <v>-0.72030526697531061</v>
      </c>
      <c r="P62" s="6">
        <v>0.2</v>
      </c>
      <c r="Q62" s="101"/>
      <c r="R62" s="94"/>
      <c r="S62" s="94"/>
      <c r="T62" s="97"/>
      <c r="U62" s="97"/>
      <c r="V62" s="94"/>
      <c r="W62" s="94"/>
      <c r="X62" s="98"/>
      <c r="Z62" s="45">
        <f t="shared" ref="Z62:Z75" si="372">H62</f>
        <v>0.10076321458341791</v>
      </c>
      <c r="AA62" s="98"/>
      <c r="AC62" s="12" t="s">
        <v>34</v>
      </c>
      <c r="AD62" s="46"/>
      <c r="AE62" s="10"/>
      <c r="AF62" s="64">
        <v>1851.8022000000001</v>
      </c>
      <c r="AG62" s="13">
        <v>9.7884941787754434E-2</v>
      </c>
      <c r="AH62" s="68">
        <v>98778.656646934149</v>
      </c>
      <c r="AI62" s="49">
        <v>19.905500000000018</v>
      </c>
      <c r="AJ62" s="69">
        <v>1.7841219402142718</v>
      </c>
      <c r="AK62" s="70">
        <v>9.6333314596148023E-2</v>
      </c>
      <c r="AL62" s="50">
        <f t="shared" ref="AL62:AL96" si="373">(AK62-AG62)/AG62*100</f>
        <v>-1.5851541240846121</v>
      </c>
      <c r="AM62" s="6">
        <v>0.1</v>
      </c>
      <c r="AN62" s="101"/>
      <c r="AO62" s="94"/>
      <c r="AP62" s="94"/>
      <c r="AQ62" s="97"/>
      <c r="AR62" s="97"/>
      <c r="AS62" s="94"/>
      <c r="AT62" s="94"/>
      <c r="AU62" s="98"/>
      <c r="AW62" s="45"/>
      <c r="AX62" s="98"/>
      <c r="AY62" s="92"/>
      <c r="AZ62" s="71" t="s">
        <v>34</v>
      </c>
      <c r="BA62" s="84"/>
      <c r="BB62" s="56"/>
      <c r="BC62" s="84"/>
      <c r="BD62" s="84"/>
      <c r="BE62" s="60"/>
      <c r="BF62" s="84"/>
      <c r="BG62" s="84"/>
      <c r="BH62" s="84"/>
      <c r="BI62" s="84"/>
      <c r="BJ62" s="84"/>
      <c r="BK62" s="84"/>
      <c r="BL62" s="62"/>
      <c r="BM62" s="84"/>
      <c r="BN62" s="101"/>
      <c r="BO62" s="94"/>
      <c r="BP62" s="94"/>
      <c r="BQ62" s="97"/>
      <c r="BR62" s="97"/>
      <c r="BS62" s="94"/>
      <c r="BT62" s="94"/>
      <c r="BU62" s="98"/>
      <c r="BW62" s="45"/>
      <c r="BX62" s="98"/>
      <c r="BZ62" s="94"/>
      <c r="CA62" s="94"/>
      <c r="CB62" s="94"/>
      <c r="CC62" s="94"/>
      <c r="CD62" s="94"/>
      <c r="CE62" s="94"/>
      <c r="CG62" s="98"/>
      <c r="CH62" s="94"/>
      <c r="CI62" s="94"/>
      <c r="CJ62" s="94"/>
      <c r="CL62" s="97"/>
      <c r="CM62" s="97"/>
      <c r="CN62" s="100"/>
      <c r="CO62" s="99"/>
      <c r="CP62" s="97"/>
      <c r="CQ62" s="100"/>
      <c r="CR62" s="99"/>
      <c r="CS62" s="97"/>
      <c r="CT62" s="100"/>
    </row>
    <row r="63" spans="2:98" x14ac:dyDescent="0.3">
      <c r="B63" s="87">
        <v>45477.447372685187</v>
      </c>
      <c r="C63" s="12" t="s">
        <v>34</v>
      </c>
      <c r="D63" s="46"/>
      <c r="E63" s="10"/>
      <c r="F63" s="10">
        <v>73.5745</v>
      </c>
      <c r="G63" s="10">
        <v>2064.1922557687303</v>
      </c>
      <c r="H63" s="42">
        <v>0.10077971276160788</v>
      </c>
      <c r="I63" s="64">
        <v>101280.4641773668</v>
      </c>
      <c r="J63" s="42">
        <v>20.268951106127755</v>
      </c>
      <c r="K63" s="42"/>
      <c r="L63" s="51">
        <v>1.1632479673538711</v>
      </c>
      <c r="M63" s="42">
        <v>9.988387351853141E-2</v>
      </c>
      <c r="N63" s="42">
        <v>73.255801091596368</v>
      </c>
      <c r="O63" s="43">
        <f t="shared" si="350"/>
        <v>-0.88890831153245942</v>
      </c>
      <c r="P63" s="6">
        <v>0.2</v>
      </c>
      <c r="Q63" s="101"/>
      <c r="R63" s="94"/>
      <c r="S63" s="94"/>
      <c r="T63" s="97"/>
      <c r="U63" s="97"/>
      <c r="V63" s="94"/>
      <c r="W63" s="94"/>
      <c r="X63" s="98"/>
      <c r="Z63" s="45">
        <f t="shared" si="372"/>
        <v>0.10077971276160788</v>
      </c>
      <c r="AA63" s="98"/>
      <c r="AC63" s="12" t="s">
        <v>34</v>
      </c>
      <c r="AD63" s="46"/>
      <c r="AE63" s="10"/>
      <c r="AF63" s="64">
        <v>1898.991</v>
      </c>
      <c r="AG63" s="13">
        <v>9.9489621049950364E-2</v>
      </c>
      <c r="AH63" s="68">
        <v>98753.369755993146</v>
      </c>
      <c r="AI63" s="49">
        <v>19.9255</v>
      </c>
      <c r="AJ63" s="69">
        <v>1.7835434925111568</v>
      </c>
      <c r="AK63" s="70">
        <v>0.10160723221552662</v>
      </c>
      <c r="AL63" s="50">
        <f t="shared" si="373"/>
        <v>2.1284744511320146</v>
      </c>
      <c r="AM63" s="6">
        <v>0.1</v>
      </c>
      <c r="AN63" s="101"/>
      <c r="AO63" s="94"/>
      <c r="AP63" s="94"/>
      <c r="AQ63" s="97"/>
      <c r="AR63" s="97"/>
      <c r="AS63" s="94"/>
      <c r="AT63" s="94"/>
      <c r="AU63" s="98"/>
      <c r="AW63" s="45"/>
      <c r="AX63" s="98"/>
      <c r="AY63" s="92"/>
      <c r="AZ63" s="71" t="s">
        <v>34</v>
      </c>
      <c r="BA63" s="84"/>
      <c r="BB63" s="56"/>
      <c r="BC63" s="84"/>
      <c r="BD63" s="84"/>
      <c r="BE63" s="60"/>
      <c r="BF63" s="84"/>
      <c r="BG63" s="84"/>
      <c r="BH63" s="84"/>
      <c r="BI63" s="84"/>
      <c r="BJ63" s="84"/>
      <c r="BK63" s="84"/>
      <c r="BL63" s="62"/>
      <c r="BM63" s="84"/>
      <c r="BN63" s="101"/>
      <c r="BO63" s="94"/>
      <c r="BP63" s="94"/>
      <c r="BQ63" s="97"/>
      <c r="BR63" s="97"/>
      <c r="BS63" s="94"/>
      <c r="BT63" s="94"/>
      <c r="BU63" s="98"/>
      <c r="BW63" s="45"/>
      <c r="BX63" s="98"/>
      <c r="BZ63" s="94"/>
      <c r="CA63" s="94"/>
      <c r="CB63" s="94"/>
      <c r="CC63" s="94"/>
      <c r="CD63" s="94"/>
      <c r="CE63" s="94"/>
      <c r="CG63" s="98"/>
      <c r="CH63" s="94"/>
      <c r="CI63" s="94"/>
      <c r="CJ63" s="94"/>
      <c r="CL63" s="97"/>
      <c r="CM63" s="97"/>
      <c r="CN63" s="100"/>
      <c r="CO63" s="99"/>
      <c r="CP63" s="97"/>
      <c r="CQ63" s="100"/>
      <c r="CR63" s="99"/>
      <c r="CS63" s="97"/>
      <c r="CT63" s="100"/>
    </row>
    <row r="64" spans="2:98" x14ac:dyDescent="0.3">
      <c r="B64" s="87">
        <v>45477.433125000003</v>
      </c>
      <c r="C64" s="12" t="s">
        <v>34</v>
      </c>
      <c r="D64" s="46"/>
      <c r="E64" s="10"/>
      <c r="F64" s="10">
        <v>41.844500000000004</v>
      </c>
      <c r="G64" s="10">
        <v>3474.9426916285315</v>
      </c>
      <c r="H64" s="42">
        <v>0.29818183003741183</v>
      </c>
      <c r="I64" s="64">
        <v>101325.84032530316</v>
      </c>
      <c r="J64" s="42">
        <v>20.219535730354057</v>
      </c>
      <c r="K64" s="42"/>
      <c r="L64" s="51">
        <v>1.1639658099983081</v>
      </c>
      <c r="M64" s="42">
        <v>0.2985690987588045</v>
      </c>
      <c r="N64" s="42">
        <v>41.907200624465986</v>
      </c>
      <c r="O64" s="43">
        <f t="shared" si="350"/>
        <v>0.12987670018125341</v>
      </c>
      <c r="P64" s="6">
        <v>0.2</v>
      </c>
      <c r="Q64" s="101">
        <f t="shared" ref="Q64" si="374">AVERAGE(O64:O66)</f>
        <v>0.12326004149224991</v>
      </c>
      <c r="R64" s="94">
        <f t="shared" ref="R64" si="375">STDEV(O64:O66)</f>
        <v>5.7305256297046948E-3</v>
      </c>
      <c r="S64" s="94">
        <f t="shared" ref="S64" si="376">COUNT(P64:P66)</f>
        <v>3</v>
      </c>
      <c r="T64" s="97">
        <f t="shared" ref="T64" si="377">TINV(0.05,S64-1)</f>
        <v>4.3026527297494637</v>
      </c>
      <c r="U64" s="97">
        <f t="shared" ref="U64" si="378">R64*T64/SQRT(S64)</f>
        <v>1.4235414824901245E-2</v>
      </c>
      <c r="V64" s="94">
        <f t="shared" ref="V64" si="379">AVERAGE(P64:P66)</f>
        <v>0.20000000000000004</v>
      </c>
      <c r="W64" s="94">
        <f t="shared" ref="W64" si="380">SQRT(U64^2+V64^2)</f>
        <v>0.20050597755487748</v>
      </c>
      <c r="X64" s="98">
        <f t="shared" ref="X64" si="381">AVERAGE(H64:H66)</f>
        <v>0.29824329208234129</v>
      </c>
      <c r="Z64" s="45">
        <f t="shared" si="372"/>
        <v>0.29818183003741183</v>
      </c>
      <c r="AA64" s="98">
        <f t="shared" si="358"/>
        <v>0.29824329208234129</v>
      </c>
      <c r="AC64" s="12" t="s">
        <v>34</v>
      </c>
      <c r="AD64" s="46"/>
      <c r="AE64" s="10"/>
      <c r="AF64" s="64">
        <v>600.82380000000001</v>
      </c>
      <c r="AG64" s="13">
        <v>0.30535409041522887</v>
      </c>
      <c r="AH64" s="68">
        <v>98748.095208901053</v>
      </c>
      <c r="AI64" s="49">
        <v>19.812000000000012</v>
      </c>
      <c r="AJ64" s="69">
        <v>1.7841391786558018</v>
      </c>
      <c r="AK64" s="70">
        <v>0.30433824115586855</v>
      </c>
      <c r="AL64" s="50">
        <f t="shared" si="373"/>
        <v>-0.33267910640363269</v>
      </c>
      <c r="AM64" s="6">
        <v>0.1</v>
      </c>
      <c r="AN64" s="101">
        <f>AVERAGE(AL64:AL66)</f>
        <v>-0.25576309366970484</v>
      </c>
      <c r="AO64" s="94">
        <f>STDEV(AL64:AL66)</f>
        <v>6.7006968522567822E-2</v>
      </c>
      <c r="AP64" s="94">
        <f>COUNT(AM64:AM66)</f>
        <v>3</v>
      </c>
      <c r="AQ64" s="97">
        <f t="shared" ref="AQ64" si="382">TINV(0.05,AP64-1)</f>
        <v>4.3026527297494637</v>
      </c>
      <c r="AR64" s="97">
        <f t="shared" ref="AR64" si="383">AO64*AQ64/SQRT(AP64)</f>
        <v>0.16645453745697808</v>
      </c>
      <c r="AS64" s="94">
        <f>AVERAGE(AM64:AM66)</f>
        <v>0.10000000000000002</v>
      </c>
      <c r="AT64" s="94">
        <f t="shared" ref="AT64" si="384">SQRT(AR64^2+AS64^2)</f>
        <v>0.19418319453551208</v>
      </c>
      <c r="AU64" s="98">
        <f>AVERAGE(AG64:AG66)</f>
        <v>0.3066275806128117</v>
      </c>
      <c r="AV64" s="48"/>
      <c r="AW64" s="45"/>
      <c r="AX64" s="98">
        <f t="shared" ref="AX64" si="385">AVERAGE(AG64:AG66)</f>
        <v>0.3066275806128117</v>
      </c>
      <c r="AY64" s="92">
        <f>ABS(AN64-Q64)/SQRT(SUMSQ(W64,AT64))</f>
        <v>1.3579062466750662</v>
      </c>
      <c r="AZ64" s="71" t="s">
        <v>34</v>
      </c>
      <c r="BA64" s="84"/>
      <c r="BB64" s="56"/>
      <c r="BC64" s="56"/>
      <c r="BD64" s="86"/>
      <c r="BE64" s="62"/>
      <c r="BF64" s="86"/>
      <c r="BG64" s="86"/>
      <c r="BH64" s="86"/>
      <c r="BI64" s="86"/>
      <c r="BJ64" s="86"/>
      <c r="BK64" s="86"/>
      <c r="BL64" s="62"/>
      <c r="BM64" s="84"/>
      <c r="BN64" s="101"/>
      <c r="BO64" s="94"/>
      <c r="BP64" s="94"/>
      <c r="BQ64" s="97"/>
      <c r="BR64" s="97"/>
      <c r="BS64" s="94"/>
      <c r="BT64" s="94"/>
      <c r="BU64" s="98"/>
      <c r="BV64" s="35"/>
      <c r="BW64" s="45"/>
      <c r="BX64" s="98"/>
      <c r="BZ64" s="94">
        <f t="shared" ref="BZ64" si="386">Q64*CA64</f>
        <v>3.0659683026397313</v>
      </c>
      <c r="CA64" s="94">
        <f t="shared" ref="CA64" si="387">1/W64^2</f>
        <v>24.87398402208478</v>
      </c>
      <c r="CB64" s="94">
        <f t="shared" ref="CB64" si="388">AN64*CC64</f>
        <v>-6.7828871809485181</v>
      </c>
      <c r="CC64" s="94">
        <f t="shared" ref="CC64" si="389">1/AT64^2</f>
        <v>26.520195246418197</v>
      </c>
      <c r="CD64" s="94"/>
      <c r="CE64" s="94"/>
      <c r="CG64" s="98">
        <f t="shared" ref="CG64" si="390">AVERAGE(AA64,AX64,BX64)</f>
        <v>0.30243543634757653</v>
      </c>
      <c r="CH64" s="94">
        <f t="shared" ref="CH64" si="391">SUM(BZ64,CB64,CD64)/SUM(CA64,CC64,CE64)</f>
        <v>-7.232178684847114E-2</v>
      </c>
      <c r="CI64" s="94">
        <f t="shared" ref="CI64" si="392">SUM(CA64,CC64,CE64)</f>
        <v>51.394179268502981</v>
      </c>
      <c r="CJ64" s="94">
        <f t="shared" ref="CJ64" si="393">SQRT(CI64^-1)</f>
        <v>0.1394899865748466</v>
      </c>
      <c r="CL64" s="97">
        <f t="shared" ref="CL64" si="394">Q64-CH64</f>
        <v>0.19558182834072105</v>
      </c>
      <c r="CM64" s="97">
        <f t="shared" ref="CM64" si="395">SQRT(W64^2-CJ64^2)</f>
        <v>0.14403190855010617</v>
      </c>
      <c r="CN64" s="100">
        <f t="shared" ref="CN64" si="396">ABS(CL64/CM64)</f>
        <v>1.3579062466750662</v>
      </c>
      <c r="CO64" s="99">
        <f t="shared" ref="CO64" si="397">AN64-CH64</f>
        <v>-0.18344130682123372</v>
      </c>
      <c r="CP64" s="97">
        <f t="shared" ref="CP64" si="398">SQRT(AT64^2-CJ64^2)</f>
        <v>0.13509129019061758</v>
      </c>
      <c r="CQ64" s="100">
        <f t="shared" ref="CQ64" si="399">ABS(CO64/CP64)</f>
        <v>1.3579062466750662</v>
      </c>
      <c r="CR64" s="99"/>
      <c r="CS64" s="97"/>
      <c r="CT64" s="100"/>
    </row>
    <row r="65" spans="2:98" x14ac:dyDescent="0.3">
      <c r="B65" s="87">
        <v>45477.433900462966</v>
      </c>
      <c r="C65" s="12" t="s">
        <v>34</v>
      </c>
      <c r="D65" s="46"/>
      <c r="E65" s="10"/>
      <c r="F65" s="10">
        <v>41.831000000000003</v>
      </c>
      <c r="G65" s="10">
        <v>3474.9426916285315</v>
      </c>
      <c r="H65" s="42">
        <v>0.29827990181507619</v>
      </c>
      <c r="I65" s="64">
        <v>101325.61789487732</v>
      </c>
      <c r="J65" s="42">
        <v>20.220701837001258</v>
      </c>
      <c r="K65" s="42"/>
      <c r="L65" s="51">
        <v>1.1639586151850674</v>
      </c>
      <c r="M65" s="42">
        <v>0.29863750991715493</v>
      </c>
      <c r="N65" s="42">
        <v>41.897600624322877</v>
      </c>
      <c r="O65" s="43">
        <f t="shared" si="350"/>
        <v>0.11989010989431295</v>
      </c>
      <c r="P65" s="6">
        <v>0.2</v>
      </c>
      <c r="Q65" s="101"/>
      <c r="R65" s="94"/>
      <c r="S65" s="94"/>
      <c r="T65" s="97"/>
      <c r="U65" s="97"/>
      <c r="V65" s="94"/>
      <c r="W65" s="94"/>
      <c r="X65" s="98"/>
      <c r="Z65" s="45">
        <f t="shared" si="372"/>
        <v>0.29827990181507619</v>
      </c>
      <c r="AA65" s="98"/>
      <c r="AC65" s="12" t="s">
        <v>34</v>
      </c>
      <c r="AD65" s="46"/>
      <c r="AE65" s="10"/>
      <c r="AF65" s="64">
        <v>591.38639999999998</v>
      </c>
      <c r="AG65" s="13">
        <v>0.30724193340597633</v>
      </c>
      <c r="AH65" s="68">
        <v>98798.1611644933</v>
      </c>
      <c r="AI65" s="49">
        <v>19.868499999999983</v>
      </c>
      <c r="AJ65" s="69">
        <v>1.7846995561599179</v>
      </c>
      <c r="AK65" s="70">
        <v>0.30659662307204177</v>
      </c>
      <c r="AL65" s="50">
        <f t="shared" si="373"/>
        <v>-0.21003328770290977</v>
      </c>
      <c r="AM65" s="6">
        <v>0.1</v>
      </c>
      <c r="AN65" s="101"/>
      <c r="AO65" s="94"/>
      <c r="AP65" s="94"/>
      <c r="AQ65" s="97"/>
      <c r="AR65" s="97"/>
      <c r="AS65" s="94"/>
      <c r="AT65" s="94"/>
      <c r="AU65" s="98"/>
      <c r="AV65" s="48"/>
      <c r="AW65" s="45"/>
      <c r="AX65" s="98"/>
      <c r="AY65" s="92"/>
      <c r="AZ65" s="71" t="s">
        <v>34</v>
      </c>
      <c r="BA65" s="84"/>
      <c r="BB65" s="56"/>
      <c r="BC65" s="56"/>
      <c r="BD65" s="86"/>
      <c r="BE65" s="62"/>
      <c r="BF65" s="86"/>
      <c r="BG65" s="86"/>
      <c r="BH65" s="86"/>
      <c r="BI65" s="86"/>
      <c r="BJ65" s="86"/>
      <c r="BK65" s="86"/>
      <c r="BL65" s="62"/>
      <c r="BM65" s="84"/>
      <c r="BN65" s="101"/>
      <c r="BO65" s="94"/>
      <c r="BP65" s="94"/>
      <c r="BQ65" s="97"/>
      <c r="BR65" s="97"/>
      <c r="BS65" s="94"/>
      <c r="BT65" s="94"/>
      <c r="BU65" s="98"/>
      <c r="BV65" s="35"/>
      <c r="BW65" s="45"/>
      <c r="BX65" s="98"/>
      <c r="BZ65" s="94"/>
      <c r="CA65" s="94"/>
      <c r="CB65" s="94"/>
      <c r="CC65" s="94"/>
      <c r="CD65" s="94"/>
      <c r="CE65" s="94"/>
      <c r="CG65" s="98"/>
      <c r="CH65" s="94"/>
      <c r="CI65" s="94"/>
      <c r="CJ65" s="94"/>
      <c r="CL65" s="97"/>
      <c r="CM65" s="97"/>
      <c r="CN65" s="100"/>
      <c r="CO65" s="99"/>
      <c r="CP65" s="97"/>
      <c r="CQ65" s="100"/>
      <c r="CR65" s="99"/>
      <c r="CS65" s="97"/>
      <c r="CT65" s="100"/>
    </row>
    <row r="66" spans="2:98" x14ac:dyDescent="0.3">
      <c r="B66" s="87">
        <v>45477.434756944444</v>
      </c>
      <c r="C66" s="12" t="s">
        <v>34</v>
      </c>
      <c r="D66" s="46"/>
      <c r="E66" s="10"/>
      <c r="F66" s="10">
        <v>41.831499999999998</v>
      </c>
      <c r="G66" s="10">
        <v>3474.9426916285315</v>
      </c>
      <c r="H66" s="42">
        <v>0.29826814439453575</v>
      </c>
      <c r="I66" s="64">
        <v>101325.69368996038</v>
      </c>
      <c r="J66" s="42">
        <v>20.222865443884746</v>
      </c>
      <c r="K66" s="42"/>
      <c r="L66" s="51">
        <v>1.1639508787914494</v>
      </c>
      <c r="M66" s="42">
        <v>0.29862610588042654</v>
      </c>
      <c r="N66" s="42">
        <v>41.899200624346122</v>
      </c>
      <c r="O66" s="43">
        <f t="shared" si="350"/>
        <v>0.12001331440118339</v>
      </c>
      <c r="P66" s="6">
        <v>0.2</v>
      </c>
      <c r="Q66" s="101"/>
      <c r="R66" s="94"/>
      <c r="S66" s="94"/>
      <c r="T66" s="97"/>
      <c r="U66" s="97"/>
      <c r="V66" s="94"/>
      <c r="W66" s="94"/>
      <c r="X66" s="98"/>
      <c r="Z66" s="45">
        <f t="shared" si="372"/>
        <v>0.29826814439453575</v>
      </c>
      <c r="AA66" s="98"/>
      <c r="AC66" s="12" t="s">
        <v>34</v>
      </c>
      <c r="AD66" s="46"/>
      <c r="AE66" s="10"/>
      <c r="AF66" s="64">
        <v>591.38639999999998</v>
      </c>
      <c r="AG66" s="13">
        <v>0.30728671801722995</v>
      </c>
      <c r="AH66" s="68">
        <v>98847.302843273254</v>
      </c>
      <c r="AI66" s="49">
        <v>19.92349999999999</v>
      </c>
      <c r="AJ66" s="69">
        <v>1.7852521617712338</v>
      </c>
      <c r="AK66" s="70">
        <v>0.30659662307204177</v>
      </c>
      <c r="AL66" s="50">
        <f t="shared" si="373"/>
        <v>-0.22457688690257202</v>
      </c>
      <c r="AM66" s="6">
        <v>0.1</v>
      </c>
      <c r="AN66" s="101"/>
      <c r="AO66" s="94"/>
      <c r="AP66" s="94"/>
      <c r="AQ66" s="97"/>
      <c r="AR66" s="97"/>
      <c r="AS66" s="94"/>
      <c r="AT66" s="94"/>
      <c r="AU66" s="98"/>
      <c r="AV66" s="48"/>
      <c r="AW66" s="45"/>
      <c r="AX66" s="98"/>
      <c r="AY66" s="92"/>
      <c r="AZ66" s="71" t="s">
        <v>34</v>
      </c>
      <c r="BA66" s="84"/>
      <c r="BB66" s="56"/>
      <c r="BC66" s="56"/>
      <c r="BD66" s="86"/>
      <c r="BE66" s="62"/>
      <c r="BF66" s="86"/>
      <c r="BG66" s="86"/>
      <c r="BH66" s="86"/>
      <c r="BI66" s="86"/>
      <c r="BJ66" s="86"/>
      <c r="BK66" s="86"/>
      <c r="BL66" s="62"/>
      <c r="BM66" s="84"/>
      <c r="BN66" s="101"/>
      <c r="BO66" s="94"/>
      <c r="BP66" s="94"/>
      <c r="BQ66" s="97"/>
      <c r="BR66" s="97"/>
      <c r="BS66" s="94"/>
      <c r="BT66" s="94"/>
      <c r="BU66" s="98"/>
      <c r="BV66" s="35"/>
      <c r="BW66" s="45"/>
      <c r="BX66" s="98"/>
      <c r="BZ66" s="94"/>
      <c r="CA66" s="94"/>
      <c r="CB66" s="94"/>
      <c r="CC66" s="94"/>
      <c r="CD66" s="94"/>
      <c r="CE66" s="94"/>
      <c r="CG66" s="98"/>
      <c r="CH66" s="94"/>
      <c r="CI66" s="94"/>
      <c r="CJ66" s="94"/>
      <c r="CL66" s="97"/>
      <c r="CM66" s="97"/>
      <c r="CN66" s="100"/>
      <c r="CO66" s="99"/>
      <c r="CP66" s="97"/>
      <c r="CQ66" s="100"/>
      <c r="CR66" s="99"/>
      <c r="CS66" s="97"/>
      <c r="CT66" s="100"/>
    </row>
    <row r="67" spans="2:98" x14ac:dyDescent="0.3">
      <c r="B67" s="89">
        <v>45477.396319444444</v>
      </c>
      <c r="C67" s="12" t="s">
        <v>34</v>
      </c>
      <c r="D67" s="46"/>
      <c r="E67" s="10"/>
      <c r="F67" s="10">
        <v>63.090499999999999</v>
      </c>
      <c r="G67" s="10">
        <v>10615.15092876458</v>
      </c>
      <c r="H67" s="42">
        <v>0.60311915077379152</v>
      </c>
      <c r="I67" s="64">
        <v>101490.65569107916</v>
      </c>
      <c r="J67" s="42">
        <v>20.20505806660691</v>
      </c>
      <c r="K67" s="42"/>
      <c r="L67" s="51">
        <v>1.1659172477698876</v>
      </c>
      <c r="M67" s="42">
        <v>0.60516901554101232</v>
      </c>
      <c r="N67" s="42">
        <v>63.114800940483747</v>
      </c>
      <c r="O67" s="43">
        <f t="shared" si="350"/>
        <v>0.33987724723893414</v>
      </c>
      <c r="P67" s="6">
        <v>0.2</v>
      </c>
      <c r="Q67" s="101">
        <f t="shared" ref="Q67" si="400">AVERAGE(O67:O69)</f>
        <v>0.34180687767455037</v>
      </c>
      <c r="R67" s="94">
        <f t="shared" ref="R67" si="401">STDEV(O67:O69)</f>
        <v>4.2794303694014468E-3</v>
      </c>
      <c r="S67" s="94">
        <f t="shared" ref="S67" si="402">COUNT(P67:P69)</f>
        <v>3</v>
      </c>
      <c r="T67" s="97">
        <f t="shared" ref="T67" si="403">TINV(0.05,S67-1)</f>
        <v>4.3026527297494637</v>
      </c>
      <c r="U67" s="97">
        <f t="shared" ref="U67" si="404">R67*T67/SQRT(S67)</f>
        <v>1.0630694365439784E-2</v>
      </c>
      <c r="V67" s="94">
        <f t="shared" ref="V67" si="405">AVERAGE(P67:P69)</f>
        <v>0.20000000000000004</v>
      </c>
      <c r="W67" s="94">
        <f t="shared" ref="W67" si="406">SQRT(U67^2+V67^2)</f>
        <v>0.2002823298813238</v>
      </c>
      <c r="X67" s="98">
        <f t="shared" ref="X67" si="407">AVERAGE(H67:H69)</f>
        <v>0.60320093474800318</v>
      </c>
      <c r="Z67" s="45">
        <f t="shared" si="372"/>
        <v>0.60311915077379152</v>
      </c>
      <c r="AA67" s="98">
        <f t="shared" si="358"/>
        <v>0.60320093474800318</v>
      </c>
      <c r="AC67" s="12" t="s">
        <v>34</v>
      </c>
      <c r="AD67" s="46"/>
      <c r="AE67" s="10"/>
      <c r="AF67" s="64">
        <v>305.13240000000002</v>
      </c>
      <c r="AG67" s="13">
        <v>0.59540581351583655</v>
      </c>
      <c r="AH67" s="68">
        <v>98743.187690925392</v>
      </c>
      <c r="AI67" s="49">
        <v>19.814999999999998</v>
      </c>
      <c r="AJ67" s="69">
        <v>1.7840322427676834</v>
      </c>
      <c r="AK67" s="70">
        <v>0.59758145452477063</v>
      </c>
      <c r="AL67" s="50">
        <f t="shared" si="373"/>
        <v>0.36540473061340273</v>
      </c>
      <c r="AM67" s="6">
        <v>0.1</v>
      </c>
      <c r="AN67" s="101">
        <f>AVERAGE(AL67:AL69)</f>
        <v>-3.4266479262988148E-2</v>
      </c>
      <c r="AO67" s="94">
        <f>STDEV(AL67:AL69)</f>
        <v>0.41260253954562726</v>
      </c>
      <c r="AP67" s="94">
        <f>COUNT(AM67:AM69)</f>
        <v>3</v>
      </c>
      <c r="AQ67" s="97">
        <f t="shared" ref="AQ67" si="408">TINV(0.05,AP67-1)</f>
        <v>4.3026527297494637</v>
      </c>
      <c r="AR67" s="97">
        <f t="shared" ref="AR67" si="409">AO67*AQ67/SQRT(AP67)</f>
        <v>1.0249615284492499</v>
      </c>
      <c r="AS67" s="94">
        <f>AVERAGE(AM67:AM69)</f>
        <v>0.10000000000000002</v>
      </c>
      <c r="AT67" s="94">
        <f t="shared" ref="AT67" si="410">SQRT(AR67^2+AS67^2)</f>
        <v>1.0298282064504849</v>
      </c>
      <c r="AU67" s="98">
        <f>AVERAGE(AG67:AG69)</f>
        <v>0.59946034688035343</v>
      </c>
      <c r="AV67" s="48"/>
      <c r="AW67" s="45"/>
      <c r="AX67" s="98">
        <f t="shared" ref="AX67" si="411">AVERAGE(AG67:AG69)</f>
        <v>0.59946034688035343</v>
      </c>
      <c r="AY67" s="92">
        <f t="shared" ref="AY67" si="412">ABS(AN67-Q67)/SQRT(SUMSQ(W67,AT67))</f>
        <v>0.3584644924624385</v>
      </c>
      <c r="AZ67" s="71" t="s">
        <v>34</v>
      </c>
      <c r="BA67" s="9" t="s">
        <v>118</v>
      </c>
      <c r="BB67" s="82" t="s">
        <v>97</v>
      </c>
      <c r="BC67" s="81">
        <v>35</v>
      </c>
      <c r="BD67" s="85">
        <v>1180.06441</v>
      </c>
      <c r="BE67" s="43">
        <v>0.61525069373107033</v>
      </c>
      <c r="BF67" s="85">
        <f t="shared" ref="BF67:BF78" si="413">BE67/3600*BD67</f>
        <v>0.20167651302773504</v>
      </c>
      <c r="BG67" s="85">
        <v>626141.75718666299</v>
      </c>
      <c r="BH67" s="85">
        <v>19.5465841894299</v>
      </c>
      <c r="BI67" s="85">
        <v>11.719668586299999</v>
      </c>
      <c r="BJ67" s="85">
        <v>0.62278535225741849</v>
      </c>
      <c r="BK67" s="85">
        <f t="shared" ref="BK67:BK78" si="414">BJ67/3600*BD67</f>
        <v>0.20414634146341462</v>
      </c>
      <c r="BL67" s="43">
        <f t="shared" ref="BL67:BL84" si="415">(BK67-BF67)/BF67*100</f>
        <v>1.2246485218335397</v>
      </c>
      <c r="BM67" s="9">
        <v>0.39</v>
      </c>
      <c r="BN67" s="101">
        <f t="shared" ref="BN67" si="416">AVERAGE(BL67:BL69)</f>
        <v>1.2732761641797516</v>
      </c>
      <c r="BO67" s="94">
        <f t="shared" ref="BO67" si="417">STDEV(BL67:BL69)</f>
        <v>4.7602568729166614E-2</v>
      </c>
      <c r="BP67" s="94">
        <f t="shared" ref="BP67" si="418">COUNT(BM67:BM69)</f>
        <v>3</v>
      </c>
      <c r="BQ67" s="97">
        <f t="shared" ref="BQ67" si="419">TINV(0.05,BP67-1)</f>
        <v>4.3026527297494637</v>
      </c>
      <c r="BR67" s="97">
        <f t="shared" ref="BR67" si="420">BO67*BQ67/SQRT(BP67)</f>
        <v>0.11825133615630981</v>
      </c>
      <c r="BS67" s="94">
        <v>0.4</v>
      </c>
      <c r="BT67" s="94">
        <f t="shared" ref="BT67" si="421">SQRT(BR67^2+BS67^2)</f>
        <v>0.41711314832159463</v>
      </c>
      <c r="BU67" s="98">
        <f t="shared" ref="BU67" si="422">AVERAGE(BF67:BF69)</f>
        <v>0.2013924596859725</v>
      </c>
      <c r="BV67" s="35"/>
      <c r="BW67" s="45"/>
      <c r="BX67" s="98">
        <f t="shared" ref="BX67" si="423">AVERAGE(BE67:BE69)</f>
        <v>0.61449061266230498</v>
      </c>
      <c r="BZ67" s="94">
        <f t="shared" ref="BZ67" si="424">Q67*CA67</f>
        <v>8.5210973573560054</v>
      </c>
      <c r="CA67" s="94">
        <f t="shared" ref="CA67" si="425">1/W67^2</f>
        <v>24.92956670541113</v>
      </c>
      <c r="CB67" s="94">
        <f t="shared" ref="CB67" si="426">AN67*CC67</f>
        <v>-3.2310220308725324E-2</v>
      </c>
      <c r="CC67" s="94">
        <f t="shared" ref="CC67" si="427">1/AT67^2</f>
        <v>0.9429104186850088</v>
      </c>
      <c r="CD67" s="94">
        <f t="shared" ref="CD67" si="428">BN67*CE67</f>
        <v>7.3183781987519403</v>
      </c>
      <c r="CE67" s="94">
        <f t="shared" ref="CE67" si="429">1/BT67^2</f>
        <v>5.7476754883466006</v>
      </c>
      <c r="CG67" s="98">
        <f t="shared" ref="CG67" si="430">AVERAGE(AA67,AX67,BX67)</f>
        <v>0.60571729809688712</v>
      </c>
      <c r="CH67" s="94">
        <f t="shared" ref="CH67" si="431">SUM(BZ67,CB67,CD67)/SUM(CA67,CC67,CE67)</f>
        <v>0.4999079393936573</v>
      </c>
      <c r="CI67" s="94">
        <f t="shared" ref="CI67" si="432">SUM(CA67,CC67,CE67)</f>
        <v>31.620152612442741</v>
      </c>
      <c r="CJ67" s="94">
        <f t="shared" ref="CJ67" si="433">SQRT(CI67^-1)</f>
        <v>0.17783531935101035</v>
      </c>
      <c r="CL67" s="97">
        <f t="shared" ref="CL67" si="434">Q67-CH67</f>
        <v>-0.15810106171910693</v>
      </c>
      <c r="CM67" s="97">
        <f t="shared" ref="CM67" si="435">SQRT(W67^2-CJ67^2)</f>
        <v>9.2128230494325503E-2</v>
      </c>
      <c r="CN67" s="100">
        <f t="shared" ref="CN67" si="436">ABS(CL67/CM67)</f>
        <v>1.716097887377148</v>
      </c>
      <c r="CO67" s="99">
        <f t="shared" ref="CO67" si="437">AN67-CH67</f>
        <v>-0.5341744186566455</v>
      </c>
      <c r="CP67" s="97">
        <f t="shared" ref="CP67" si="438">SQRT(AT67^2-CJ67^2)</f>
        <v>1.0143573009508764</v>
      </c>
      <c r="CQ67" s="100">
        <f t="shared" ref="CQ67" si="439">ABS(CO67/CP67)</f>
        <v>0.52661366774400009</v>
      </c>
      <c r="CR67" s="99">
        <f t="shared" ref="CR67" si="440">BN67-CH67</f>
        <v>0.77336822478609435</v>
      </c>
      <c r="CS67" s="97">
        <f t="shared" ref="CS67" si="441">SQRT(BT67^2-CJ67^2)</f>
        <v>0.37730356172991103</v>
      </c>
      <c r="CT67" s="100">
        <f t="shared" ref="CT67" si="442">ABS(CR67/CS67)</f>
        <v>2.0497241564332285</v>
      </c>
    </row>
    <row r="68" spans="2:98" x14ac:dyDescent="0.3">
      <c r="B68" s="89">
        <v>45477.397453703707</v>
      </c>
      <c r="C68" s="12" t="s">
        <v>34</v>
      </c>
      <c r="D68" s="46"/>
      <c r="E68" s="10"/>
      <c r="F68" s="10">
        <v>63.080000000000005</v>
      </c>
      <c r="G68" s="10">
        <v>10615.15092876458</v>
      </c>
      <c r="H68" s="42">
        <v>0.60322397354676682</v>
      </c>
      <c r="I68" s="64">
        <v>101492.75585681744</v>
      </c>
      <c r="J68" s="42">
        <v>20.207477237740655</v>
      </c>
      <c r="K68" s="42"/>
      <c r="L68" s="51">
        <v>1.1659317391771811</v>
      </c>
      <c r="M68" s="42">
        <v>0.60526788960064004</v>
      </c>
      <c r="N68" s="42">
        <v>62.983600938528753</v>
      </c>
      <c r="O68" s="43">
        <f t="shared" si="350"/>
        <v>0.33883203312620946</v>
      </c>
      <c r="P68" s="6">
        <v>0.2</v>
      </c>
      <c r="Q68" s="101"/>
      <c r="R68" s="94"/>
      <c r="S68" s="94"/>
      <c r="T68" s="97"/>
      <c r="U68" s="97"/>
      <c r="V68" s="94"/>
      <c r="W68" s="94"/>
      <c r="X68" s="98"/>
      <c r="Z68" s="45">
        <f t="shared" si="372"/>
        <v>0.60322397354676682</v>
      </c>
      <c r="AA68" s="98"/>
      <c r="AC68" s="12" t="s">
        <v>34</v>
      </c>
      <c r="AD68" s="46"/>
      <c r="AE68" s="10"/>
      <c r="AF68" s="64">
        <v>307.2294</v>
      </c>
      <c r="AG68" s="13">
        <v>0.59999016365200708</v>
      </c>
      <c r="AH68" s="68">
        <v>98842.306060606104</v>
      </c>
      <c r="AI68" s="49">
        <v>19.920000000000016</v>
      </c>
      <c r="AJ68" s="69">
        <v>1.7851832357105655</v>
      </c>
      <c r="AK68" s="70">
        <v>0.59993305709262101</v>
      </c>
      <c r="AL68" s="50">
        <f t="shared" si="373"/>
        <v>-9.5179159335665592E-3</v>
      </c>
      <c r="AM68" s="6">
        <v>0.1</v>
      </c>
      <c r="AN68" s="101"/>
      <c r="AO68" s="94"/>
      <c r="AP68" s="94"/>
      <c r="AQ68" s="97"/>
      <c r="AR68" s="97"/>
      <c r="AS68" s="94"/>
      <c r="AT68" s="94"/>
      <c r="AU68" s="98"/>
      <c r="AV68" s="48"/>
      <c r="AW68" s="45"/>
      <c r="AX68" s="98"/>
      <c r="AY68" s="92"/>
      <c r="AZ68" s="71" t="s">
        <v>34</v>
      </c>
      <c r="BA68" s="9" t="s">
        <v>119</v>
      </c>
      <c r="BB68" s="82" t="s">
        <v>97</v>
      </c>
      <c r="BC68" s="81">
        <v>36</v>
      </c>
      <c r="BD68" s="85">
        <v>1180.76529</v>
      </c>
      <c r="BE68" s="43">
        <v>0.6142714333166569</v>
      </c>
      <c r="BF68" s="85">
        <f t="shared" si="413"/>
        <v>0.20147510752746056</v>
      </c>
      <c r="BG68" s="85">
        <v>625094.21610186703</v>
      </c>
      <c r="BH68" s="85">
        <v>19.337145612232899</v>
      </c>
      <c r="BI68" s="85">
        <v>11.708728005799999</v>
      </c>
      <c r="BJ68" s="85">
        <v>0.62210583409828724</v>
      </c>
      <c r="BK68" s="85">
        <f t="shared" si="414"/>
        <v>0.20404471544715447</v>
      </c>
      <c r="BL68" s="43">
        <f t="shared" si="415"/>
        <v>1.2753972196509062</v>
      </c>
      <c r="BM68" s="9">
        <v>0.39</v>
      </c>
      <c r="BN68" s="101"/>
      <c r="BO68" s="94"/>
      <c r="BP68" s="94"/>
      <c r="BQ68" s="97"/>
      <c r="BR68" s="97"/>
      <c r="BS68" s="94"/>
      <c r="BT68" s="94"/>
      <c r="BU68" s="98"/>
      <c r="BV68" s="35"/>
      <c r="BW68" s="45"/>
      <c r="BX68" s="98"/>
      <c r="BZ68" s="94"/>
      <c r="CA68" s="94"/>
      <c r="CB68" s="94"/>
      <c r="CC68" s="94"/>
      <c r="CD68" s="94"/>
      <c r="CE68" s="94"/>
      <c r="CG68" s="98"/>
      <c r="CH68" s="94"/>
      <c r="CI68" s="94"/>
      <c r="CJ68" s="94"/>
      <c r="CL68" s="97"/>
      <c r="CM68" s="97"/>
      <c r="CN68" s="100"/>
      <c r="CO68" s="99"/>
      <c r="CP68" s="97"/>
      <c r="CQ68" s="100"/>
      <c r="CR68" s="99"/>
      <c r="CS68" s="97"/>
      <c r="CT68" s="100"/>
    </row>
    <row r="69" spans="2:98" x14ac:dyDescent="0.3">
      <c r="B69" s="89">
        <v>45477.398472222223</v>
      </c>
      <c r="C69" s="12" t="s">
        <v>34</v>
      </c>
      <c r="D69" s="46"/>
      <c r="E69" s="10"/>
      <c r="F69" s="10">
        <v>63.076499999999996</v>
      </c>
      <c r="G69" s="10">
        <v>10615.15092876458</v>
      </c>
      <c r="H69" s="42">
        <v>0.60325967992345142</v>
      </c>
      <c r="I69" s="64">
        <v>101499.70960782483</v>
      </c>
      <c r="J69" s="42">
        <v>20.208342979350952</v>
      </c>
      <c r="K69" s="42"/>
      <c r="L69" s="51">
        <v>1.1660081914336822</v>
      </c>
      <c r="M69" s="42">
        <v>0.6053512497197574</v>
      </c>
      <c r="N69" s="42">
        <v>63.095800940200661</v>
      </c>
      <c r="O69" s="43">
        <f t="shared" si="350"/>
        <v>0.34671135265850744</v>
      </c>
      <c r="P69" s="6">
        <v>0.2</v>
      </c>
      <c r="Q69" s="101"/>
      <c r="R69" s="94"/>
      <c r="S69" s="94"/>
      <c r="T69" s="97"/>
      <c r="U69" s="97"/>
      <c r="V69" s="94"/>
      <c r="W69" s="94"/>
      <c r="X69" s="98"/>
      <c r="Z69" s="45">
        <f t="shared" si="372"/>
        <v>0.60325967992345142</v>
      </c>
      <c r="AA69" s="98"/>
      <c r="AC69" s="12" t="s">
        <v>34</v>
      </c>
      <c r="AD69" s="46"/>
      <c r="AE69" s="10"/>
      <c r="AF69" s="64">
        <v>305.13240000000002</v>
      </c>
      <c r="AG69" s="13">
        <v>0.60298506347321679</v>
      </c>
      <c r="AH69" s="68">
        <v>98809.142428315405</v>
      </c>
      <c r="AI69" s="49">
        <v>19.83499999999998</v>
      </c>
      <c r="AJ69" s="69">
        <v>1.7851020085814622</v>
      </c>
      <c r="AK69" s="70">
        <v>0.60021925388262487</v>
      </c>
      <c r="AL69" s="50">
        <f t="shared" si="373"/>
        <v>-0.45868625246880063</v>
      </c>
      <c r="AM69" s="6">
        <v>0.1</v>
      </c>
      <c r="AN69" s="101"/>
      <c r="AO69" s="94"/>
      <c r="AP69" s="94"/>
      <c r="AQ69" s="97"/>
      <c r="AR69" s="97"/>
      <c r="AS69" s="94"/>
      <c r="AT69" s="94"/>
      <c r="AU69" s="98"/>
      <c r="AV69" s="48"/>
      <c r="AW69" s="45"/>
      <c r="AX69" s="98"/>
      <c r="AY69" s="92"/>
      <c r="AZ69" s="71" t="s">
        <v>34</v>
      </c>
      <c r="BA69" s="9" t="s">
        <v>120</v>
      </c>
      <c r="BB69" s="82" t="s">
        <v>97</v>
      </c>
      <c r="BC69" s="81">
        <v>37</v>
      </c>
      <c r="BD69" s="85">
        <v>1178.7492</v>
      </c>
      <c r="BE69" s="43">
        <v>0.61394971093918782</v>
      </c>
      <c r="BF69" s="85">
        <f t="shared" si="413"/>
        <v>0.20102575850272189</v>
      </c>
      <c r="BG69" s="85">
        <v>622338.61538270093</v>
      </c>
      <c r="BH69" s="85">
        <v>19.267134246014699</v>
      </c>
      <c r="BI69" s="85">
        <v>11.658401299399999</v>
      </c>
      <c r="BJ69" s="85">
        <v>0.62205251332431399</v>
      </c>
      <c r="BK69" s="85">
        <f t="shared" si="414"/>
        <v>0.20367886178861791</v>
      </c>
      <c r="BL69" s="43">
        <f t="shared" si="415"/>
        <v>1.3197827510548088</v>
      </c>
      <c r="BM69" s="9">
        <v>0.39</v>
      </c>
      <c r="BN69" s="101"/>
      <c r="BO69" s="94"/>
      <c r="BP69" s="94"/>
      <c r="BQ69" s="97"/>
      <c r="BR69" s="97"/>
      <c r="BS69" s="94"/>
      <c r="BT69" s="94"/>
      <c r="BU69" s="98"/>
      <c r="BV69" s="35"/>
      <c r="BW69" s="45"/>
      <c r="BX69" s="98"/>
      <c r="BZ69" s="94"/>
      <c r="CA69" s="94"/>
      <c r="CB69" s="94"/>
      <c r="CC69" s="94"/>
      <c r="CD69" s="94"/>
      <c r="CE69" s="94"/>
      <c r="CG69" s="98"/>
      <c r="CH69" s="94"/>
      <c r="CI69" s="94"/>
      <c r="CJ69" s="94"/>
      <c r="CL69" s="97"/>
      <c r="CM69" s="97"/>
      <c r="CN69" s="100"/>
      <c r="CO69" s="99"/>
      <c r="CP69" s="97"/>
      <c r="CQ69" s="100"/>
      <c r="CR69" s="99"/>
      <c r="CS69" s="97"/>
      <c r="CT69" s="100"/>
    </row>
    <row r="70" spans="2:98" x14ac:dyDescent="0.3">
      <c r="B70" s="89">
        <v>45477.388171296298</v>
      </c>
      <c r="C70" s="12" t="s">
        <v>34</v>
      </c>
      <c r="D70" s="46"/>
      <c r="E70" s="10"/>
      <c r="F70" s="10">
        <v>46.722999999999999</v>
      </c>
      <c r="G70" s="10">
        <v>13030.495810037697</v>
      </c>
      <c r="H70" s="42">
        <v>0.99643360114234225</v>
      </c>
      <c r="I70" s="64">
        <v>101808.08271448396</v>
      </c>
      <c r="J70" s="42">
        <v>20.190412745631303</v>
      </c>
      <c r="K70" s="42"/>
      <c r="L70" s="51">
        <v>1.1696232506164272</v>
      </c>
      <c r="M70" s="42">
        <v>0.99997212985015205</v>
      </c>
      <c r="N70" s="42">
        <v>46.757400696739523</v>
      </c>
      <c r="O70" s="43">
        <f t="shared" si="350"/>
        <v>0.35511936808966676</v>
      </c>
      <c r="P70" s="6">
        <v>0.2</v>
      </c>
      <c r="Q70" s="101">
        <f t="shared" ref="Q70" si="443">AVERAGE(O70:O72)</f>
        <v>0.35557395725674973</v>
      </c>
      <c r="R70" s="94">
        <f t="shared" ref="R70" si="444">STDEV(O70:O72)</f>
        <v>4.0142406903934356E-3</v>
      </c>
      <c r="S70" s="94">
        <f t="shared" ref="S70" si="445">COUNT(P70:P72)</f>
        <v>3</v>
      </c>
      <c r="T70" s="97">
        <f t="shared" ref="T70" si="446">TINV(0.05,S70-1)</f>
        <v>4.3026527297494637</v>
      </c>
      <c r="U70" s="97">
        <f t="shared" ref="U70" si="447">R70*T70/SQRT(S70)</f>
        <v>9.9719266830490191E-3</v>
      </c>
      <c r="V70" s="94">
        <f t="shared" ref="V70" si="448">AVERAGE(P70:P72)</f>
        <v>0.20000000000000004</v>
      </c>
      <c r="W70" s="94">
        <f t="shared" ref="W70" si="449">SQRT(U70^2+V70^2)</f>
        <v>0.20024844399338568</v>
      </c>
      <c r="X70" s="98">
        <f t="shared" ref="X70" si="450">AVERAGE(H70:H72)</f>
        <v>0.99633687116623548</v>
      </c>
      <c r="Z70" s="45">
        <f t="shared" si="372"/>
        <v>0.99643360114234225</v>
      </c>
      <c r="AA70" s="98">
        <f t="shared" si="358"/>
        <v>0.99633687116623548</v>
      </c>
      <c r="AC70" s="12" t="s">
        <v>34</v>
      </c>
      <c r="AD70" s="46"/>
      <c r="AE70" s="10"/>
      <c r="AF70" s="64">
        <v>204.47040000000001</v>
      </c>
      <c r="AG70" s="13">
        <v>1.0040865405889916</v>
      </c>
      <c r="AH70" s="68">
        <v>98838.973185483861</v>
      </c>
      <c r="AI70" s="49">
        <v>19.91700000000003</v>
      </c>
      <c r="AJ70" s="69">
        <v>1.7851413144427979</v>
      </c>
      <c r="AK70" s="70">
        <v>1.0052143751166607</v>
      </c>
      <c r="AL70" s="50">
        <f t="shared" si="373"/>
        <v>0.11232443440656896</v>
      </c>
      <c r="AM70" s="6">
        <v>0.1</v>
      </c>
      <c r="AN70" s="101">
        <f>AVERAGE(AL70:AL72)</f>
        <v>3.295211710480387E-2</v>
      </c>
      <c r="AO70" s="94">
        <f>STDEV(AL70:AL72)</f>
        <v>9.4319770915324327E-2</v>
      </c>
      <c r="AP70" s="94">
        <f>COUNT(AM70:AM72)</f>
        <v>3</v>
      </c>
      <c r="AQ70" s="97">
        <f t="shared" ref="AQ70" si="451">TINV(0.05,AP70-1)</f>
        <v>4.3026527297494637</v>
      </c>
      <c r="AR70" s="97">
        <f t="shared" ref="AR70" si="452">AO70*AQ70/SQRT(AP70)</f>
        <v>0.23430329989440921</v>
      </c>
      <c r="AS70" s="94">
        <f>AVERAGE(AM70:AM72)</f>
        <v>0.10000000000000002</v>
      </c>
      <c r="AT70" s="94">
        <f t="shared" ref="AT70" si="453">SQRT(AR70^2+AS70^2)</f>
        <v>0.25475093001088234</v>
      </c>
      <c r="AU70" s="98">
        <f>AVERAGE(AG70:AG72)</f>
        <v>1.0074401694946016</v>
      </c>
      <c r="AV70" s="48"/>
      <c r="AW70" s="45"/>
      <c r="AX70" s="98">
        <f t="shared" ref="AX70" si="454">AVERAGE(AG70:AG72)</f>
        <v>1.0074401694946016</v>
      </c>
      <c r="AY70" s="92">
        <f t="shared" ref="AY70" si="455">ABS(AN70-Q70)/SQRT(SUMSQ(W70,AT70))</f>
        <v>0.99564458249608989</v>
      </c>
      <c r="AZ70" s="71" t="s">
        <v>34</v>
      </c>
      <c r="BA70" s="9" t="s">
        <v>111</v>
      </c>
      <c r="BB70" s="82" t="s">
        <v>97</v>
      </c>
      <c r="BC70" s="81">
        <v>32</v>
      </c>
      <c r="BD70" s="85">
        <v>688.29056000000003</v>
      </c>
      <c r="BE70" s="43">
        <v>1.0556576662981672</v>
      </c>
      <c r="BF70" s="85">
        <f t="shared" si="413"/>
        <v>0.20183311286240516</v>
      </c>
      <c r="BG70" s="85">
        <v>595309.34328368993</v>
      </c>
      <c r="BH70" s="85">
        <v>20.344761583864098</v>
      </c>
      <c r="BI70" s="85">
        <v>11.089269680799999</v>
      </c>
      <c r="BJ70" s="85">
        <v>1.068288199284368</v>
      </c>
      <c r="BK70" s="85">
        <f t="shared" si="414"/>
        <v>0.20424796747967483</v>
      </c>
      <c r="BL70" s="43">
        <f t="shared" si="415"/>
        <v>1.1964610677713436</v>
      </c>
      <c r="BM70" s="9">
        <v>0.39</v>
      </c>
      <c r="BN70" s="101">
        <f t="shared" ref="BN70" si="456">AVERAGE(BL70:BL72)</f>
        <v>1.1001247094642439</v>
      </c>
      <c r="BO70" s="94">
        <f t="shared" ref="BO70" si="457">STDEV(BL70:BL72)</f>
        <v>8.5090583164789846E-2</v>
      </c>
      <c r="BP70" s="94">
        <f t="shared" ref="BP70" si="458">COUNT(BM70:BM72)</f>
        <v>3</v>
      </c>
      <c r="BQ70" s="97">
        <f t="shared" ref="BQ70" si="459">TINV(0.05,BP70-1)</f>
        <v>4.3026527297494637</v>
      </c>
      <c r="BR70" s="97">
        <f t="shared" ref="BR70" si="460">BO70*BQ70/SQRT(BP70)</f>
        <v>0.21137672655448228</v>
      </c>
      <c r="BS70" s="94">
        <v>0.4</v>
      </c>
      <c r="BT70" s="94">
        <f t="shared" ref="BT70" si="461">SQRT(BR70^2+BS70^2)</f>
        <v>0.45241587121683563</v>
      </c>
      <c r="BU70" s="98">
        <f t="shared" ref="BU70" si="462">AVERAGE(BF70:BF72)</f>
        <v>0.20200541638175876</v>
      </c>
      <c r="BV70" s="34"/>
      <c r="BW70" s="45"/>
      <c r="BX70" s="98">
        <f t="shared" ref="BX70" si="463">AVERAGE(BE70:BE72)</f>
        <v>1.0554256642960025</v>
      </c>
      <c r="BZ70" s="94">
        <f t="shared" ref="BZ70" si="464">Q70*CA70</f>
        <v>8.8673049616354529</v>
      </c>
      <c r="CA70" s="94">
        <f t="shared" ref="CA70" si="465">1/W70^2</f>
        <v>24.93800454354599</v>
      </c>
      <c r="CB70" s="94">
        <f t="shared" ref="CB70" si="466">AN70*CC70</f>
        <v>0.50775214417047188</v>
      </c>
      <c r="CC70" s="94">
        <f t="shared" ref="CC70" si="467">1/AT70^2</f>
        <v>15.408786711808878</v>
      </c>
      <c r="CD70" s="94">
        <f t="shared" ref="CD70" si="468">BN70*CE70</f>
        <v>5.3748488452202814</v>
      </c>
      <c r="CE70" s="94">
        <f t="shared" ref="CE70" si="469">1/BT70^2</f>
        <v>4.8856723233112458</v>
      </c>
      <c r="CG70" s="98">
        <f t="shared" ref="CG70" si="470">AVERAGE(AA70,AX70,BX70)</f>
        <v>1.0197342349856131</v>
      </c>
      <c r="CH70" s="94">
        <f t="shared" ref="CH70" si="471">SUM(BZ70,CB70,CD70)/SUM(CA70,CC70,CE70)</f>
        <v>0.32609114746478229</v>
      </c>
      <c r="CI70" s="94">
        <f t="shared" ref="CI70" si="472">SUM(CA70,CC70,CE70)</f>
        <v>45.232463578666113</v>
      </c>
      <c r="CJ70" s="94">
        <f t="shared" ref="CJ70" si="473">SQRT(CI70^-1)</f>
        <v>0.14868764363441667</v>
      </c>
      <c r="CL70" s="97">
        <f t="shared" ref="CL70" si="474">Q70-CH70</f>
        <v>2.9482809791967435E-2</v>
      </c>
      <c r="CM70" s="97">
        <f t="shared" ref="CM70" si="475">SQRT(W70^2-CJ70^2)</f>
        <v>0.13413211379910792</v>
      </c>
      <c r="CN70" s="100">
        <f t="shared" ref="CN70" si="476">ABS(CL70/CM70)</f>
        <v>0.21980425833088987</v>
      </c>
      <c r="CO70" s="99">
        <f t="shared" ref="CO70" si="477">AN70-CH70</f>
        <v>-0.2931390303599784</v>
      </c>
      <c r="CP70" s="97">
        <f t="shared" ref="CP70" si="478">SQRT(AT70^2-CJ70^2)</f>
        <v>0.20685748952323238</v>
      </c>
      <c r="CQ70" s="100">
        <f t="shared" ref="CQ70" si="479">ABS(CO70/CP70)</f>
        <v>1.4171061972936476</v>
      </c>
      <c r="CR70" s="99">
        <f t="shared" ref="CR70" si="480">BN70-CH70</f>
        <v>0.77403356199946161</v>
      </c>
      <c r="CS70" s="97">
        <f t="shared" ref="CS70" si="481">SQRT(BT70^2-CJ70^2)</f>
        <v>0.42728457163737271</v>
      </c>
      <c r="CT70" s="100">
        <f t="shared" ref="CT70" si="482">ABS(CR70/CS70)</f>
        <v>1.8115176942460898</v>
      </c>
    </row>
    <row r="71" spans="2:98" x14ac:dyDescent="0.3">
      <c r="B71" s="89">
        <v>45477.389074074075</v>
      </c>
      <c r="C71" s="12" t="s">
        <v>34</v>
      </c>
      <c r="D71" s="46"/>
      <c r="E71" s="10"/>
      <c r="F71" s="10">
        <v>46.728999999999999</v>
      </c>
      <c r="G71" s="10">
        <v>13030.495810037697</v>
      </c>
      <c r="H71" s="42">
        <v>0.99631768700748757</v>
      </c>
      <c r="I71" s="64">
        <v>101807.72246244819</v>
      </c>
      <c r="J71" s="42">
        <v>20.192916077285012</v>
      </c>
      <c r="K71" s="42"/>
      <c r="L71" s="51">
        <v>1.1696091025030622</v>
      </c>
      <c r="M71" s="42">
        <v>0.99982279602234458</v>
      </c>
      <c r="N71" s="42">
        <v>46.691200695753082</v>
      </c>
      <c r="O71" s="43">
        <f t="shared" si="350"/>
        <v>0.35180636262564602</v>
      </c>
      <c r="P71" s="6">
        <v>0.2</v>
      </c>
      <c r="Q71" s="101"/>
      <c r="R71" s="94"/>
      <c r="S71" s="94"/>
      <c r="T71" s="97"/>
      <c r="U71" s="97"/>
      <c r="V71" s="94"/>
      <c r="W71" s="94"/>
      <c r="X71" s="98"/>
      <c r="Z71" s="45">
        <f t="shared" si="372"/>
        <v>0.99631768700748757</v>
      </c>
      <c r="AA71" s="98"/>
      <c r="AC71" s="12" t="s">
        <v>34</v>
      </c>
      <c r="AD71" s="46"/>
      <c r="AE71" s="10"/>
      <c r="AF71" s="64">
        <v>183.4992</v>
      </c>
      <c r="AG71" s="13">
        <v>1.0058689488815427</v>
      </c>
      <c r="AH71" s="68">
        <v>98813.087078651704</v>
      </c>
      <c r="AI71" s="49">
        <v>19.807000000000016</v>
      </c>
      <c r="AJ71" s="69">
        <v>1.7853438950782199</v>
      </c>
      <c r="AK71" s="70">
        <v>1.0064508555310774</v>
      </c>
      <c r="AL71" s="50">
        <f t="shared" si="373"/>
        <v>5.7851139572581992E-2</v>
      </c>
      <c r="AM71" s="6">
        <v>0.1</v>
      </c>
      <c r="AN71" s="101"/>
      <c r="AO71" s="94"/>
      <c r="AP71" s="94"/>
      <c r="AQ71" s="97"/>
      <c r="AR71" s="97"/>
      <c r="AS71" s="94"/>
      <c r="AT71" s="94"/>
      <c r="AU71" s="98"/>
      <c r="AV71" s="48"/>
      <c r="AW71" s="45"/>
      <c r="AX71" s="98"/>
      <c r="AY71" s="92"/>
      <c r="AZ71" s="71" t="s">
        <v>34</v>
      </c>
      <c r="BA71" s="9" t="s">
        <v>112</v>
      </c>
      <c r="BB71" s="82" t="s">
        <v>97</v>
      </c>
      <c r="BC71" s="81">
        <v>33</v>
      </c>
      <c r="BD71" s="85">
        <v>689.20392000000004</v>
      </c>
      <c r="BE71" s="43">
        <v>1.0554864552558465</v>
      </c>
      <c r="BF71" s="85">
        <f t="shared" si="413"/>
        <v>0.20206816735256503</v>
      </c>
      <c r="BG71" s="85">
        <v>596772.67276812904</v>
      </c>
      <c r="BH71" s="85">
        <v>20.329212557656099</v>
      </c>
      <c r="BI71" s="85">
        <v>11.1181161015</v>
      </c>
      <c r="BJ71" s="85">
        <v>1.0667662949379653</v>
      </c>
      <c r="BK71" s="85">
        <f t="shared" si="414"/>
        <v>0.20422764227642276</v>
      </c>
      <c r="BL71" s="43">
        <f t="shared" si="415"/>
        <v>1.0686863508243338</v>
      </c>
      <c r="BM71" s="9">
        <v>0.39</v>
      </c>
      <c r="BN71" s="101"/>
      <c r="BO71" s="94"/>
      <c r="BP71" s="94"/>
      <c r="BQ71" s="97"/>
      <c r="BR71" s="97"/>
      <c r="BS71" s="94"/>
      <c r="BT71" s="94"/>
      <c r="BU71" s="98"/>
      <c r="BV71" s="29"/>
      <c r="BW71" s="45"/>
      <c r="BX71" s="98"/>
      <c r="BZ71" s="94"/>
      <c r="CA71" s="94"/>
      <c r="CB71" s="94"/>
      <c r="CC71" s="94"/>
      <c r="CD71" s="94"/>
      <c r="CE71" s="94"/>
      <c r="CG71" s="98"/>
      <c r="CH71" s="94"/>
      <c r="CI71" s="94"/>
      <c r="CJ71" s="94"/>
      <c r="CL71" s="97"/>
      <c r="CM71" s="97"/>
      <c r="CN71" s="100"/>
      <c r="CO71" s="99"/>
      <c r="CP71" s="97"/>
      <c r="CQ71" s="100"/>
      <c r="CR71" s="99"/>
      <c r="CS71" s="97"/>
      <c r="CT71" s="100"/>
    </row>
    <row r="72" spans="2:98" x14ac:dyDescent="0.3">
      <c r="B72" s="89">
        <v>45477.389953703707</v>
      </c>
      <c r="C72" s="12" t="s">
        <v>34</v>
      </c>
      <c r="D72" s="46"/>
      <c r="E72" s="10"/>
      <c r="F72" s="10">
        <v>46.731999999999999</v>
      </c>
      <c r="G72" s="10">
        <v>13030.495810037697</v>
      </c>
      <c r="H72" s="42">
        <v>0.99625932534887673</v>
      </c>
      <c r="I72" s="64">
        <v>101804.96893201697</v>
      </c>
      <c r="J72" s="42">
        <v>20.195339504930278</v>
      </c>
      <c r="K72" s="42"/>
      <c r="L72" s="51">
        <v>1.1695677727447504</v>
      </c>
      <c r="M72" s="42">
        <v>0.99984382795638194</v>
      </c>
      <c r="N72" s="42">
        <v>46.763400696828967</v>
      </c>
      <c r="O72" s="43">
        <f t="shared" si="350"/>
        <v>0.3597961410549364</v>
      </c>
      <c r="P72" s="6">
        <v>0.2</v>
      </c>
      <c r="Q72" s="101"/>
      <c r="R72" s="94"/>
      <c r="S72" s="94"/>
      <c r="T72" s="97"/>
      <c r="U72" s="97"/>
      <c r="V72" s="94"/>
      <c r="W72" s="94"/>
      <c r="X72" s="98"/>
      <c r="Z72" s="45">
        <f t="shared" si="372"/>
        <v>0.99625932534887673</v>
      </c>
      <c r="AA72" s="98"/>
      <c r="AC72" s="12" t="s">
        <v>34</v>
      </c>
      <c r="AD72" s="46"/>
      <c r="AE72" s="10"/>
      <c r="AF72" s="64">
        <v>191.8878</v>
      </c>
      <c r="AG72" s="13">
        <v>1.0123650190132711</v>
      </c>
      <c r="AH72" s="68">
        <v>98729.809554597756</v>
      </c>
      <c r="AI72" s="49">
        <v>20.302999999999997</v>
      </c>
      <c r="AJ72" s="69">
        <v>1.7808241660301478</v>
      </c>
      <c r="AK72" s="70">
        <v>1.0116430081511811</v>
      </c>
      <c r="AL72" s="50">
        <f t="shared" si="373"/>
        <v>-7.1319222664739348E-2</v>
      </c>
      <c r="AM72" s="6">
        <v>0.1</v>
      </c>
      <c r="AN72" s="101"/>
      <c r="AO72" s="94"/>
      <c r="AP72" s="94"/>
      <c r="AQ72" s="97"/>
      <c r="AR72" s="97"/>
      <c r="AS72" s="94"/>
      <c r="AT72" s="94"/>
      <c r="AU72" s="98"/>
      <c r="AV72" s="48"/>
      <c r="AW72" s="45"/>
      <c r="AX72" s="98"/>
      <c r="AY72" s="92"/>
      <c r="AZ72" s="71" t="s">
        <v>34</v>
      </c>
      <c r="BA72" s="9" t="s">
        <v>113</v>
      </c>
      <c r="BB72" s="82" t="s">
        <v>97</v>
      </c>
      <c r="BC72" s="81">
        <v>34</v>
      </c>
      <c r="BD72" s="85">
        <v>689.59456</v>
      </c>
      <c r="BE72" s="43">
        <v>1.055132871333994</v>
      </c>
      <c r="BF72" s="85">
        <f t="shared" si="413"/>
        <v>0.20211496893030617</v>
      </c>
      <c r="BG72" s="85">
        <v>597846.21335385588</v>
      </c>
      <c r="BH72" s="85">
        <v>20.266140110284798</v>
      </c>
      <c r="BI72" s="85">
        <v>11.1414463449</v>
      </c>
      <c r="BJ72" s="85">
        <v>1.066055888641892</v>
      </c>
      <c r="BK72" s="85">
        <f t="shared" si="414"/>
        <v>0.20420731707317072</v>
      </c>
      <c r="BL72" s="43">
        <f t="shared" si="415"/>
        <v>1.0352267097970544</v>
      </c>
      <c r="BM72" s="9">
        <v>0.39</v>
      </c>
      <c r="BN72" s="101"/>
      <c r="BO72" s="94"/>
      <c r="BP72" s="94"/>
      <c r="BQ72" s="97"/>
      <c r="BR72" s="97"/>
      <c r="BS72" s="94"/>
      <c r="BT72" s="94"/>
      <c r="BU72" s="98"/>
      <c r="BV72" s="29"/>
      <c r="BW72" s="45"/>
      <c r="BX72" s="98"/>
      <c r="BZ72" s="94"/>
      <c r="CA72" s="94"/>
      <c r="CB72" s="94"/>
      <c r="CC72" s="94"/>
      <c r="CD72" s="94"/>
      <c r="CE72" s="94"/>
      <c r="CG72" s="98"/>
      <c r="CH72" s="94"/>
      <c r="CI72" s="94"/>
      <c r="CJ72" s="94"/>
      <c r="CL72" s="97"/>
      <c r="CM72" s="97"/>
      <c r="CN72" s="100"/>
      <c r="CO72" s="99"/>
      <c r="CP72" s="97"/>
      <c r="CQ72" s="100"/>
      <c r="CR72" s="99"/>
      <c r="CS72" s="97"/>
      <c r="CT72" s="100"/>
    </row>
    <row r="73" spans="2:98" x14ac:dyDescent="0.3">
      <c r="B73" s="89">
        <v>45477.380185185182</v>
      </c>
      <c r="C73" s="12" t="s">
        <v>34</v>
      </c>
      <c r="D73" s="46"/>
      <c r="E73" s="10"/>
      <c r="F73" s="10">
        <v>20.471</v>
      </c>
      <c r="G73" s="10">
        <v>13030.495810037697</v>
      </c>
      <c r="H73" s="42">
        <v>2.2316024330458726</v>
      </c>
      <c r="I73" s="64">
        <v>103756.94554132635</v>
      </c>
      <c r="J73" s="42">
        <v>20.183165769375478</v>
      </c>
      <c r="K73" s="42"/>
      <c r="L73" s="51">
        <v>1.1920477861016077</v>
      </c>
      <c r="M73" s="42">
        <v>2.2400528333111325</v>
      </c>
      <c r="N73" s="42">
        <v>20.284800302267087</v>
      </c>
      <c r="O73" s="43">
        <f t="shared" si="350"/>
        <v>0.37866961158157997</v>
      </c>
      <c r="P73" s="6">
        <v>0.2</v>
      </c>
      <c r="Q73" s="101">
        <f t="shared" ref="Q73" si="483">AVERAGE(O73:O75)</f>
        <v>0.36425902612923827</v>
      </c>
      <c r="R73" s="94">
        <f t="shared" ref="R73" si="484">STDEV(O73:O75)</f>
        <v>1.495888559623434E-2</v>
      </c>
      <c r="S73" s="94">
        <f t="shared" ref="S73" si="485">COUNT(P73:P75)</f>
        <v>3</v>
      </c>
      <c r="T73" s="97">
        <f t="shared" ref="T73" si="486">TINV(0.05,S73-1)</f>
        <v>4.3026527297494637</v>
      </c>
      <c r="U73" s="97">
        <f t="shared" ref="U73" si="487">R73*T73/SQRT(S73)</f>
        <v>3.7159931835364562E-2</v>
      </c>
      <c r="V73" s="94">
        <f t="shared" ref="V73" si="488">AVERAGE(P73:P75)</f>
        <v>0.20000000000000004</v>
      </c>
      <c r="W73" s="94">
        <f t="shared" ref="W73" si="489">SQRT(U73^2+V73^2)</f>
        <v>0.20342286138487226</v>
      </c>
      <c r="X73" s="98">
        <f t="shared" ref="X73" si="490">AVERAGE(H73:H75)</f>
        <v>2.2319215395852616</v>
      </c>
      <c r="Z73" s="45">
        <f t="shared" si="372"/>
        <v>2.2316024330458726</v>
      </c>
      <c r="AA73" s="98">
        <f t="shared" si="358"/>
        <v>2.2319215395852616</v>
      </c>
      <c r="AC73" s="12" t="s">
        <v>34</v>
      </c>
      <c r="AD73" s="46"/>
      <c r="AE73" s="10"/>
      <c r="AF73" s="64">
        <v>174.06180000000001</v>
      </c>
      <c r="AG73" s="13">
        <v>2.1918532033801443</v>
      </c>
      <c r="AH73" s="68">
        <v>98695.970793650806</v>
      </c>
      <c r="AI73" s="49">
        <v>20.26600000000002</v>
      </c>
      <c r="AJ73" s="69">
        <v>1.7804382908745886</v>
      </c>
      <c r="AK73" s="70">
        <v>2.1947629534102395</v>
      </c>
      <c r="AL73" s="50">
        <f t="shared" si="373"/>
        <v>0.13275296108370541</v>
      </c>
      <c r="AM73" s="6">
        <v>0.1</v>
      </c>
      <c r="AN73" s="101">
        <f>AVERAGE(AL73:AL75)</f>
        <v>8.2367152702689128E-2</v>
      </c>
      <c r="AO73" s="94">
        <f>STDEV(AL73:AL75)</f>
        <v>6.6330070906193514E-2</v>
      </c>
      <c r="AP73" s="94">
        <f>COUNT(AM73:AM75)</f>
        <v>3</v>
      </c>
      <c r="AQ73" s="97">
        <f t="shared" ref="AQ73" si="491">TINV(0.05,AP73-1)</f>
        <v>4.3026527297494637</v>
      </c>
      <c r="AR73" s="97">
        <f t="shared" ref="AR73" si="492">AO73*AQ73/SQRT(AP73)</f>
        <v>0.16477303056114875</v>
      </c>
      <c r="AS73" s="94">
        <f>AVERAGE(AM73:AM75)</f>
        <v>0.10000000000000002</v>
      </c>
      <c r="AT73" s="94">
        <f t="shared" ref="AT73" si="493">SQRT(AR73^2+AS73^2)</f>
        <v>0.19274374594342941</v>
      </c>
      <c r="AU73" s="98">
        <f>AVERAGE(AG73:AG75)</f>
        <v>2.194274045947795</v>
      </c>
      <c r="AV73" s="48"/>
      <c r="AW73" s="45"/>
      <c r="AX73" s="98">
        <f t="shared" ref="AX73" si="494">AVERAGE(AG73:AG75)</f>
        <v>2.194274045947795</v>
      </c>
      <c r="AY73" s="92">
        <f t="shared" ref="AY73" si="495">ABS(AN73-Q73)/SQRT(SUMSQ(W73,AT73))</f>
        <v>1.0059165615675063</v>
      </c>
      <c r="AZ73" s="71" t="s">
        <v>34</v>
      </c>
      <c r="BA73" s="9" t="s">
        <v>108</v>
      </c>
      <c r="BB73" s="82" t="s">
        <v>80</v>
      </c>
      <c r="BC73" s="81">
        <v>1</v>
      </c>
      <c r="BD73" s="85">
        <v>335.08237000000003</v>
      </c>
      <c r="BE73" s="43">
        <v>2.1885955473040846</v>
      </c>
      <c r="BF73" s="85">
        <f t="shared" si="413"/>
        <v>0.20371105082280552</v>
      </c>
      <c r="BG73" s="85">
        <v>585941.41578378098</v>
      </c>
      <c r="BH73" s="85">
        <v>19.8380084525364</v>
      </c>
      <c r="BI73" s="85">
        <v>10.929942988100001</v>
      </c>
      <c r="BJ73" s="85">
        <v>2.2094312613780129</v>
      </c>
      <c r="BK73" s="85">
        <f t="shared" si="414"/>
        <v>0.20565040650406502</v>
      </c>
      <c r="BL73" s="43">
        <f t="shared" si="415"/>
        <v>0.95201299754052693</v>
      </c>
      <c r="BM73" s="9">
        <v>0.39</v>
      </c>
      <c r="BN73" s="101">
        <f t="shared" ref="BN73" si="496">AVERAGE(BL73:BL75)</f>
        <v>0.99014491798425197</v>
      </c>
      <c r="BO73" s="94">
        <f t="shared" ref="BO73" si="497">STDEV(BL73:BL75)</f>
        <v>7.6969980700660162E-2</v>
      </c>
      <c r="BP73" s="94">
        <f t="shared" ref="BP73" si="498">COUNT(BM73:BM75)</f>
        <v>3</v>
      </c>
      <c r="BQ73" s="97">
        <f t="shared" ref="BQ73" si="499">TINV(0.05,BP73-1)</f>
        <v>4.3026527297494637</v>
      </c>
      <c r="BR73" s="97">
        <f t="shared" ref="BR73" si="500">BO73*BQ73/SQRT(BP73)</f>
        <v>0.19120403173120509</v>
      </c>
      <c r="BS73" s="94">
        <v>0.4</v>
      </c>
      <c r="BT73" s="94">
        <f t="shared" ref="BT73" si="501">SQRT(BR73^2+BS73^2)</f>
        <v>0.44334972848786963</v>
      </c>
      <c r="BU73" s="98">
        <f t="shared" ref="BU73" si="502">AVERAGE(BF73:BF75)</f>
        <v>0.2032986124977342</v>
      </c>
      <c r="BV73" s="29"/>
      <c r="BW73" s="45"/>
      <c r="BX73" s="98">
        <f t="shared" ref="BX73" si="503">AVERAGE(BE73:BE75)</f>
        <v>2.1886181344655875</v>
      </c>
      <c r="BZ73" s="94">
        <f t="shared" ref="BZ73" si="504">Q73*CA73</f>
        <v>8.8025966939443219</v>
      </c>
      <c r="CA73" s="94">
        <f t="shared" ref="CA73" si="505">1/W73^2</f>
        <v>24.16576134703984</v>
      </c>
      <c r="CB73" s="94">
        <f t="shared" ref="CB73" si="506">AN73*CC73</f>
        <v>2.2171417653652945</v>
      </c>
      <c r="CC73" s="94">
        <f t="shared" ref="CC73" si="507">1/AT73^2</f>
        <v>26.917790558673872</v>
      </c>
      <c r="CD73" s="94">
        <f t="shared" ref="CD73" si="508">BN73*CE73</f>
        <v>5.0373934030765977</v>
      </c>
      <c r="CE73" s="94">
        <f t="shared" ref="CE73" si="509">1/BT73^2</f>
        <v>5.0875314427021241</v>
      </c>
      <c r="CG73" s="98">
        <f t="shared" ref="CG73" si="510">AVERAGE(AA73,AX73,BX73)</f>
        <v>2.2049379066662147</v>
      </c>
      <c r="CH73" s="94">
        <f t="shared" ref="CH73" si="511">SUM(BZ73,CB73,CD73)/SUM(CA73,CC73,CE73)</f>
        <v>0.2858611745617875</v>
      </c>
      <c r="CI73" s="94">
        <f t="shared" ref="CI73" si="512">SUM(CA73,CC73,CE73)</f>
        <v>56.171083348415834</v>
      </c>
      <c r="CJ73" s="94">
        <f t="shared" ref="CJ73" si="513">SQRT(CI73^-1)</f>
        <v>0.13342696271007362</v>
      </c>
      <c r="CL73" s="97">
        <f t="shared" ref="CL73" si="514">Q73-CH73</f>
        <v>7.8397851567450771E-2</v>
      </c>
      <c r="CM73" s="97">
        <f t="shared" ref="CM73" si="515">SQRT(W73^2-CJ73^2)</f>
        <v>0.15355164003023081</v>
      </c>
      <c r="CN73" s="100">
        <f t="shared" ref="CN73" si="516">ABS(CL73/CM73)</f>
        <v>0.51056342707909874</v>
      </c>
      <c r="CO73" s="99">
        <f t="shared" ref="CO73" si="517">AN73-CH73</f>
        <v>-0.20349402185909837</v>
      </c>
      <c r="CP73" s="97">
        <f t="shared" ref="CP73" si="518">SQRT(AT73^2-CJ73^2)</f>
        <v>0.13909492162645581</v>
      </c>
      <c r="CQ73" s="100">
        <f t="shared" ref="CQ73" si="519">ABS(CO73/CP73)</f>
        <v>1.4629867106549623</v>
      </c>
      <c r="CR73" s="99">
        <f t="shared" ref="CR73" si="520">BN73-CH73</f>
        <v>0.70428374342246447</v>
      </c>
      <c r="CS73" s="97">
        <f t="shared" ref="CS73" si="521">SQRT(BT73^2-CJ73^2)</f>
        <v>0.42279572771284285</v>
      </c>
      <c r="CT73" s="100">
        <f t="shared" ref="CT73" si="522">ABS(CR73/CS73)</f>
        <v>1.6657778148146389</v>
      </c>
    </row>
    <row r="74" spans="2:98" x14ac:dyDescent="0.3">
      <c r="B74" s="89">
        <v>45477.380995370368</v>
      </c>
      <c r="C74" s="12" t="s">
        <v>34</v>
      </c>
      <c r="D74" s="46"/>
      <c r="E74" s="10"/>
      <c r="F74" s="10">
        <v>20.47</v>
      </c>
      <c r="G74" s="10">
        <v>13030.495810037697</v>
      </c>
      <c r="H74" s="42">
        <v>2.2317822042075437</v>
      </c>
      <c r="I74" s="64">
        <v>103761.31419969238</v>
      </c>
      <c r="J74" s="42">
        <v>20.183202024324288</v>
      </c>
      <c r="K74" s="42"/>
      <c r="L74" s="51">
        <v>1.1920978414783505</v>
      </c>
      <c r="M74" s="42">
        <v>2.2399349297886761</v>
      </c>
      <c r="N74" s="42">
        <v>20.44920030471684</v>
      </c>
      <c r="O74" s="43">
        <f t="shared" si="350"/>
        <v>0.36530112865683056</v>
      </c>
      <c r="P74" s="6">
        <v>0.2</v>
      </c>
      <c r="Q74" s="101"/>
      <c r="R74" s="94"/>
      <c r="S74" s="94"/>
      <c r="T74" s="97"/>
      <c r="U74" s="97"/>
      <c r="V74" s="94"/>
      <c r="W74" s="94"/>
      <c r="X74" s="98"/>
      <c r="Z74" s="45">
        <f t="shared" si="372"/>
        <v>2.2317822042075437</v>
      </c>
      <c r="AA74" s="98"/>
      <c r="AC74" s="12" t="s">
        <v>34</v>
      </c>
      <c r="AD74" s="46"/>
      <c r="AE74" s="10"/>
      <c r="AF74" s="64">
        <v>170.916</v>
      </c>
      <c r="AG74" s="13">
        <v>2.1934228516369219</v>
      </c>
      <c r="AH74" s="68">
        <v>98839.344631410306</v>
      </c>
      <c r="AI74" s="49">
        <v>19.915999999999997</v>
      </c>
      <c r="AJ74" s="69">
        <v>1.7851541144508565</v>
      </c>
      <c r="AK74" s="70">
        <v>2.1957726773785327</v>
      </c>
      <c r="AL74" s="50">
        <f t="shared" si="373"/>
        <v>0.10713053982533086</v>
      </c>
      <c r="AM74" s="6">
        <v>0.1</v>
      </c>
      <c r="AN74" s="101"/>
      <c r="AO74" s="94"/>
      <c r="AP74" s="94"/>
      <c r="AQ74" s="97"/>
      <c r="AR74" s="97"/>
      <c r="AS74" s="94"/>
      <c r="AT74" s="94"/>
      <c r="AU74" s="98"/>
      <c r="AV74" s="48"/>
      <c r="AW74" s="45"/>
      <c r="AX74" s="98"/>
      <c r="AY74" s="92"/>
      <c r="AZ74" s="71" t="s">
        <v>34</v>
      </c>
      <c r="BA74" s="9" t="s">
        <v>109</v>
      </c>
      <c r="BB74" s="82" t="s">
        <v>80</v>
      </c>
      <c r="BC74" s="81">
        <v>2</v>
      </c>
      <c r="BD74" s="85">
        <v>333.37223</v>
      </c>
      <c r="BE74" s="43">
        <v>2.1892191555964384</v>
      </c>
      <c r="BF74" s="85">
        <f t="shared" si="413"/>
        <v>0.2027291310721949</v>
      </c>
      <c r="BG74" s="85">
        <v>589367.302552148</v>
      </c>
      <c r="BH74" s="85">
        <v>19.9069916179335</v>
      </c>
      <c r="BI74" s="85">
        <v>10.993114512</v>
      </c>
      <c r="BJ74" s="85">
        <v>2.2097909199853514</v>
      </c>
      <c r="BK74" s="85">
        <f t="shared" si="414"/>
        <v>0.2046341463414634</v>
      </c>
      <c r="BL74" s="43">
        <f t="shared" si="415"/>
        <v>0.93968501674784066</v>
      </c>
      <c r="BM74" s="9">
        <v>0.39</v>
      </c>
      <c r="BN74" s="101"/>
      <c r="BO74" s="94"/>
      <c r="BP74" s="94"/>
      <c r="BQ74" s="97"/>
      <c r="BR74" s="97"/>
      <c r="BS74" s="94"/>
      <c r="BT74" s="94"/>
      <c r="BU74" s="98"/>
      <c r="BV74" s="29"/>
      <c r="BW74" s="45"/>
      <c r="BX74" s="98"/>
      <c r="BZ74" s="94"/>
      <c r="CA74" s="94"/>
      <c r="CB74" s="94"/>
      <c r="CC74" s="94"/>
      <c r="CD74" s="94"/>
      <c r="CE74" s="94"/>
      <c r="CG74" s="98"/>
      <c r="CH74" s="94"/>
      <c r="CI74" s="94"/>
      <c r="CJ74" s="94"/>
      <c r="CL74" s="97"/>
      <c r="CM74" s="97"/>
      <c r="CN74" s="100"/>
      <c r="CO74" s="99"/>
      <c r="CP74" s="97"/>
      <c r="CQ74" s="100"/>
      <c r="CR74" s="99"/>
      <c r="CS74" s="97"/>
      <c r="CT74" s="100"/>
    </row>
    <row r="75" spans="2:98" x14ac:dyDescent="0.3">
      <c r="B75" s="89">
        <v>45477.381782407407</v>
      </c>
      <c r="C75" s="12" t="s">
        <v>34</v>
      </c>
      <c r="D75" s="46"/>
      <c r="E75" s="10"/>
      <c r="F75" s="10">
        <v>20.464499999999997</v>
      </c>
      <c r="G75" s="10">
        <v>13030.495810037697</v>
      </c>
      <c r="H75" s="42">
        <v>2.2323799815023686</v>
      </c>
      <c r="I75" s="64">
        <v>103757.21018893342</v>
      </c>
      <c r="J75" s="42">
        <v>20.18294551106705</v>
      </c>
      <c r="K75" s="42"/>
      <c r="L75" s="51">
        <v>1.192051724903195</v>
      </c>
      <c r="M75" s="42">
        <v>2.2401666643694251</v>
      </c>
      <c r="N75" s="42">
        <v>20.61040030711888</v>
      </c>
      <c r="O75" s="43">
        <f t="shared" si="350"/>
        <v>0.34880633814930423</v>
      </c>
      <c r="P75" s="6">
        <v>0.2</v>
      </c>
      <c r="Q75" s="101"/>
      <c r="R75" s="94"/>
      <c r="S75" s="94"/>
      <c r="T75" s="97"/>
      <c r="U75" s="97"/>
      <c r="V75" s="94"/>
      <c r="W75" s="94"/>
      <c r="X75" s="98"/>
      <c r="Z75" s="45">
        <f t="shared" si="372"/>
        <v>2.2323799815023686</v>
      </c>
      <c r="AA75" s="98"/>
      <c r="AC75" s="12" t="s">
        <v>34</v>
      </c>
      <c r="AD75" s="46"/>
      <c r="AE75" s="10"/>
      <c r="AF75" s="64">
        <v>176.15940000000001</v>
      </c>
      <c r="AG75" s="13">
        <v>2.1975460828263196</v>
      </c>
      <c r="AH75" s="68">
        <v>98818.352745553013</v>
      </c>
      <c r="AI75" s="49">
        <v>19.771500000000003</v>
      </c>
      <c r="AJ75" s="69">
        <v>1.7856554170610737</v>
      </c>
      <c r="AK75" s="70">
        <v>2.197704700762007</v>
      </c>
      <c r="AL75" s="50">
        <f t="shared" si="373"/>
        <v>7.217957199031109E-3</v>
      </c>
      <c r="AM75" s="6">
        <v>0.1</v>
      </c>
      <c r="AN75" s="101"/>
      <c r="AO75" s="94"/>
      <c r="AP75" s="94"/>
      <c r="AQ75" s="97"/>
      <c r="AR75" s="97"/>
      <c r="AS75" s="94"/>
      <c r="AT75" s="94"/>
      <c r="AU75" s="98"/>
      <c r="AV75" s="48"/>
      <c r="AW75" s="45"/>
      <c r="AX75" s="98"/>
      <c r="AY75" s="92"/>
      <c r="AZ75" s="71" t="s">
        <v>34</v>
      </c>
      <c r="BA75" s="11" t="s">
        <v>110</v>
      </c>
      <c r="BB75" s="82" t="s">
        <v>80</v>
      </c>
      <c r="BC75" s="81">
        <v>3</v>
      </c>
      <c r="BD75" s="85">
        <v>334.74729000000002</v>
      </c>
      <c r="BE75" s="43">
        <v>2.1880397004962395</v>
      </c>
      <c r="BF75" s="85">
        <f t="shared" si="413"/>
        <v>0.2034556555982022</v>
      </c>
      <c r="BG75" s="85">
        <v>588524.04219490697</v>
      </c>
      <c r="BH75" s="85">
        <v>20.0090805982056</v>
      </c>
      <c r="BI75" s="85">
        <v>10.9726177509</v>
      </c>
      <c r="BJ75" s="85">
        <v>2.2116428886239352</v>
      </c>
      <c r="BK75" s="85">
        <f t="shared" si="414"/>
        <v>0.20565040650406505</v>
      </c>
      <c r="BL75" s="43">
        <f t="shared" si="415"/>
        <v>1.0787367396643881</v>
      </c>
      <c r="BM75" s="9">
        <v>0.39</v>
      </c>
      <c r="BN75" s="101"/>
      <c r="BO75" s="94"/>
      <c r="BP75" s="94"/>
      <c r="BQ75" s="97"/>
      <c r="BR75" s="97"/>
      <c r="BS75" s="94"/>
      <c r="BT75" s="94"/>
      <c r="BU75" s="98"/>
      <c r="BW75" s="45"/>
      <c r="BX75" s="98"/>
      <c r="BZ75" s="94"/>
      <c r="CA75" s="94"/>
      <c r="CB75" s="94"/>
      <c r="CC75" s="94"/>
      <c r="CD75" s="94"/>
      <c r="CE75" s="94"/>
      <c r="CG75" s="98"/>
      <c r="CH75" s="94"/>
      <c r="CI75" s="94"/>
      <c r="CJ75" s="94"/>
      <c r="CL75" s="97"/>
      <c r="CM75" s="97"/>
      <c r="CN75" s="100"/>
      <c r="CO75" s="99"/>
      <c r="CP75" s="97"/>
      <c r="CQ75" s="100"/>
      <c r="CR75" s="99"/>
      <c r="CS75" s="97"/>
      <c r="CT75" s="100"/>
    </row>
    <row r="76" spans="2:98" x14ac:dyDescent="0.3">
      <c r="B76" s="44"/>
      <c r="C76" s="57"/>
      <c r="D76" s="58"/>
      <c r="E76" s="59"/>
      <c r="F76" s="59"/>
      <c r="G76" s="59"/>
      <c r="H76" s="61"/>
      <c r="I76" s="61"/>
      <c r="J76" s="61"/>
      <c r="K76" s="61"/>
      <c r="L76" s="61"/>
      <c r="M76" s="61"/>
      <c r="N76" s="61"/>
      <c r="O76" s="62"/>
      <c r="P76" s="63"/>
      <c r="Q76" s="90"/>
      <c r="R76" s="91"/>
      <c r="S76" s="91"/>
      <c r="T76" s="104"/>
      <c r="U76" s="104"/>
      <c r="V76" s="91"/>
      <c r="W76" s="91"/>
      <c r="X76" s="105"/>
      <c r="Z76" s="45"/>
      <c r="AA76" s="98"/>
      <c r="AC76" s="12" t="s">
        <v>34</v>
      </c>
      <c r="AD76" s="46"/>
      <c r="AE76" s="10"/>
      <c r="AF76" s="64">
        <v>123.7308</v>
      </c>
      <c r="AG76" s="13">
        <v>3.0085928732033889</v>
      </c>
      <c r="AH76" s="68">
        <v>98840.643400447443</v>
      </c>
      <c r="AI76" s="49">
        <v>19.913499999999999</v>
      </c>
      <c r="AJ76" s="69">
        <v>1.7851928003281725</v>
      </c>
      <c r="AK76" s="70">
        <v>3.0100752956437997</v>
      </c>
      <c r="AL76" s="50">
        <f t="shared" si="373"/>
        <v>4.9272949278526129E-2</v>
      </c>
      <c r="AM76" s="6">
        <v>0.1</v>
      </c>
      <c r="AN76" s="101">
        <f>AVERAGE(AL76:AL78)</f>
        <v>9.5691765265450132E-2</v>
      </c>
      <c r="AO76" s="94">
        <f>STDEV(AL76:AL78)</f>
        <v>5.2891687217641183E-2</v>
      </c>
      <c r="AP76" s="94">
        <f>COUNT(AM76:AM78)</f>
        <v>3</v>
      </c>
      <c r="AQ76" s="97">
        <f t="shared" ref="AQ76" si="523">TINV(0.05,AP76-1)</f>
        <v>4.3026527297494637</v>
      </c>
      <c r="AR76" s="97">
        <f t="shared" ref="AR76" si="524">AO76*AQ76/SQRT(AP76)</f>
        <v>0.1313902348554454</v>
      </c>
      <c r="AS76" s="94">
        <f>AVERAGE(AM76:AM78)</f>
        <v>0.10000000000000002</v>
      </c>
      <c r="AT76" s="94">
        <f t="shared" ref="AT76" si="525">SQRT(AR76^2+AS76^2)</f>
        <v>0.16511630390536575</v>
      </c>
      <c r="AU76" s="98">
        <f>AVERAGE(AG76:AG78)</f>
        <v>3.0120259024001954</v>
      </c>
      <c r="AV76" s="48"/>
      <c r="AW76" s="45"/>
      <c r="AX76" s="98">
        <f t="shared" ref="AX76" si="526">AVERAGE(AG76:AG78)</f>
        <v>3.0120259024001954</v>
      </c>
      <c r="AZ76" s="71" t="s">
        <v>34</v>
      </c>
      <c r="BA76" s="11" t="s">
        <v>104</v>
      </c>
      <c r="BB76" s="82" t="s">
        <v>107</v>
      </c>
      <c r="BC76" s="81">
        <v>14</v>
      </c>
      <c r="BD76" s="85">
        <v>243.23602</v>
      </c>
      <c r="BE76" s="43">
        <v>3.0396923662555602</v>
      </c>
      <c r="BF76" s="85">
        <f t="shared" si="413"/>
        <v>0.20537852033121798</v>
      </c>
      <c r="BG76" s="85">
        <v>625527.45785668294</v>
      </c>
      <c r="BH76" s="85">
        <v>20.110182232237399</v>
      </c>
      <c r="BI76" s="85">
        <v>11.682569901300001</v>
      </c>
      <c r="BJ76" s="85">
        <v>3.0581558542874756</v>
      </c>
      <c r="BK76" s="85">
        <f t="shared" si="414"/>
        <v>0.20662601626016264</v>
      </c>
      <c r="BL76" s="43">
        <f t="shared" si="415"/>
        <v>0.60741304734925405</v>
      </c>
      <c r="BM76" s="9">
        <v>0.39</v>
      </c>
      <c r="BN76" s="101">
        <f t="shared" ref="BN76" si="527">AVERAGE(BL76:BL78)</f>
        <v>0.59099738221847964</v>
      </c>
      <c r="BO76" s="94">
        <f t="shared" ref="BO76" si="528">STDEV(BL76:BL78)</f>
        <v>2.7078443917448711E-2</v>
      </c>
      <c r="BP76" s="94">
        <f t="shared" ref="BP76" si="529">COUNT(BM76:BM78)</f>
        <v>3</v>
      </c>
      <c r="BQ76" s="97">
        <f t="shared" ref="BQ76" si="530">TINV(0.05,BP76-1)</f>
        <v>4.3026527297494637</v>
      </c>
      <c r="BR76" s="97">
        <f t="shared" ref="BR76" si="531">BO76*BQ76/SQRT(BP76)</f>
        <v>6.7266583710850716E-2</v>
      </c>
      <c r="BS76" s="94">
        <v>0.4</v>
      </c>
      <c r="BT76" s="94">
        <f t="shared" ref="BT76" si="532">SQRT(BR76^2+BS76^2)</f>
        <v>0.40561655943036756</v>
      </c>
      <c r="BU76" s="98">
        <f t="shared" ref="BU76" si="533">AVERAGE(BF76:BF78)</f>
        <v>0.20504160297671201</v>
      </c>
      <c r="BW76" s="45"/>
      <c r="BX76" s="98">
        <f t="shared" ref="BX76" si="534">AVERAGE(BE76:BE78)</f>
        <v>3.0395350710572937</v>
      </c>
      <c r="BZ76" s="94"/>
      <c r="CA76" s="94"/>
      <c r="CB76" s="94">
        <f t="shared" ref="CB76" si="535">AN76*CC76</f>
        <v>3.509899241212814</v>
      </c>
      <c r="CC76" s="94">
        <f t="shared" ref="CC76" si="536">1/AT76^2</f>
        <v>36.679219277398744</v>
      </c>
      <c r="CD76" s="94">
        <f t="shared" ref="CD76" si="537">BN76*CE76</f>
        <v>3.5921478484877758</v>
      </c>
      <c r="CE76" s="94">
        <f t="shared" ref="CE76" si="538">1/BT76^2</f>
        <v>6.0781112684520018</v>
      </c>
      <c r="CG76" s="98">
        <f t="shared" ref="CG76" si="539">AVERAGE(AA76,AX76,BX76)</f>
        <v>3.0257804867287446</v>
      </c>
      <c r="CH76" s="94">
        <f t="shared" ref="CH76" si="540">SUM(BZ76,CB76,CD76)/SUM(CA76,CC76,CE76)</f>
        <v>0.1661012743086176</v>
      </c>
      <c r="CI76" s="94">
        <f t="shared" ref="CI76" si="541">SUM(CA76,CC76,CE76)</f>
        <v>42.757330545850749</v>
      </c>
      <c r="CJ76" s="94">
        <f t="shared" ref="CJ76:CJ85" si="542">SQRT(CI76^-1)</f>
        <v>0.15293071126415911</v>
      </c>
      <c r="CL76" s="97"/>
      <c r="CM76" s="97"/>
      <c r="CN76" s="100"/>
      <c r="CO76" s="99">
        <f t="shared" ref="CO76" si="543">AN76-CH76</f>
        <v>-7.0409509043167465E-2</v>
      </c>
      <c r="CP76" s="97">
        <f t="shared" ref="CP76" si="544">SQRT(AT76^2-CJ76^2)</f>
        <v>6.2254247787661025E-2</v>
      </c>
      <c r="CQ76" s="100">
        <f t="shared" ref="CQ76" si="545">ABS(CO76/CP76)</f>
        <v>1.1309992738699965</v>
      </c>
      <c r="CR76" s="99">
        <f t="shared" ref="CR76" si="546">BN76-CH76</f>
        <v>0.42489610790986204</v>
      </c>
      <c r="CS76" s="97">
        <f t="shared" ref="CS76" si="547">SQRT(BT76^2-CJ76^2)</f>
        <v>0.37568203422091839</v>
      </c>
      <c r="CT76" s="100">
        <f t="shared" ref="CT76" si="548">ABS(CR76/CS76)</f>
        <v>1.130999273869997</v>
      </c>
    </row>
    <row r="77" spans="2:98" x14ac:dyDescent="0.3">
      <c r="B77" s="44"/>
      <c r="C77" s="57"/>
      <c r="D77" s="58"/>
      <c r="E77" s="59"/>
      <c r="F77" s="59"/>
      <c r="G77" s="59"/>
      <c r="H77" s="61"/>
      <c r="I77" s="61"/>
      <c r="J77" s="61"/>
      <c r="K77" s="61"/>
      <c r="L77" s="61"/>
      <c r="M77" s="61"/>
      <c r="N77" s="61"/>
      <c r="O77" s="62"/>
      <c r="P77" s="63"/>
      <c r="Q77" s="90"/>
      <c r="R77" s="91"/>
      <c r="S77" s="91"/>
      <c r="T77" s="104"/>
      <c r="U77" s="104"/>
      <c r="V77" s="91"/>
      <c r="W77" s="91"/>
      <c r="X77" s="105"/>
      <c r="Z77" s="45"/>
      <c r="AA77" s="98"/>
      <c r="AC77" s="12" t="s">
        <v>34</v>
      </c>
      <c r="AD77" s="46"/>
      <c r="AE77" s="10"/>
      <c r="AF77" s="64">
        <v>125.8278</v>
      </c>
      <c r="AG77" s="13">
        <v>3.0105400135081153</v>
      </c>
      <c r="AH77" s="68">
        <v>98820.411240310059</v>
      </c>
      <c r="AI77" s="49">
        <v>19.740499999999997</v>
      </c>
      <c r="AJ77" s="69">
        <v>1.7858816147920724</v>
      </c>
      <c r="AK77" s="70">
        <v>3.01515439276884</v>
      </c>
      <c r="AL77" s="50">
        <f t="shared" si="373"/>
        <v>0.15327413819515018</v>
      </c>
      <c r="AM77" s="6">
        <v>0.1</v>
      </c>
      <c r="AN77" s="101"/>
      <c r="AO77" s="94"/>
      <c r="AP77" s="94"/>
      <c r="AQ77" s="97"/>
      <c r="AR77" s="97"/>
      <c r="AS77" s="94"/>
      <c r="AT77" s="94"/>
      <c r="AU77" s="98"/>
      <c r="AV77" s="48"/>
      <c r="AW77" s="45"/>
      <c r="AX77" s="98"/>
      <c r="AZ77" s="71" t="s">
        <v>34</v>
      </c>
      <c r="BA77" s="11" t="s">
        <v>105</v>
      </c>
      <c r="BB77" s="82" t="s">
        <v>107</v>
      </c>
      <c r="BC77" s="81">
        <v>15</v>
      </c>
      <c r="BD77" s="85">
        <v>242.44704999999999</v>
      </c>
      <c r="BE77" s="43">
        <v>3.0388325187101084</v>
      </c>
      <c r="BF77" s="85">
        <f t="shared" si="413"/>
        <v>0.20465443877925987</v>
      </c>
      <c r="BG77" s="85">
        <v>639545.49860217702</v>
      </c>
      <c r="BH77" s="85">
        <v>19.939450521745599</v>
      </c>
      <c r="BI77" s="85">
        <v>11.961732084699999</v>
      </c>
      <c r="BJ77" s="85">
        <v>3.0572428585751901</v>
      </c>
      <c r="BK77" s="85">
        <f t="shared" si="414"/>
        <v>0.20589430894308944</v>
      </c>
      <c r="BL77" s="43">
        <f t="shared" si="415"/>
        <v>0.6058359502120978</v>
      </c>
      <c r="BM77" s="9">
        <v>0.39</v>
      </c>
      <c r="BN77" s="101"/>
      <c r="BO77" s="94"/>
      <c r="BP77" s="94"/>
      <c r="BQ77" s="97"/>
      <c r="BR77" s="97"/>
      <c r="BS77" s="94"/>
      <c r="BT77" s="94"/>
      <c r="BU77" s="98"/>
      <c r="BW77" s="45"/>
      <c r="BX77" s="98"/>
      <c r="BZ77" s="94"/>
      <c r="CA77" s="94"/>
      <c r="CB77" s="94"/>
      <c r="CC77" s="94"/>
      <c r="CD77" s="94"/>
      <c r="CE77" s="94"/>
      <c r="CG77" s="98"/>
      <c r="CH77" s="94"/>
      <c r="CI77" s="94"/>
      <c r="CJ77" s="94"/>
      <c r="CL77" s="97"/>
      <c r="CM77" s="97"/>
      <c r="CN77" s="100"/>
      <c r="CO77" s="99"/>
      <c r="CP77" s="97"/>
      <c r="CQ77" s="100"/>
      <c r="CR77" s="99"/>
      <c r="CS77" s="97"/>
      <c r="CT77" s="100"/>
    </row>
    <row r="78" spans="2:98" x14ac:dyDescent="0.3">
      <c r="B78" s="44"/>
      <c r="C78" s="57"/>
      <c r="D78" s="58"/>
      <c r="E78" s="59"/>
      <c r="F78" s="59"/>
      <c r="G78" s="59"/>
      <c r="H78" s="61"/>
      <c r="I78" s="61"/>
      <c r="J78" s="61"/>
      <c r="K78" s="61"/>
      <c r="L78" s="61"/>
      <c r="M78" s="61"/>
      <c r="N78" s="61"/>
      <c r="O78" s="62"/>
      <c r="P78" s="63"/>
      <c r="Q78" s="90"/>
      <c r="R78" s="91"/>
      <c r="S78" s="91"/>
      <c r="T78" s="104"/>
      <c r="U78" s="104"/>
      <c r="V78" s="91"/>
      <c r="W78" s="91"/>
      <c r="X78" s="105"/>
      <c r="Z78" s="45"/>
      <c r="AA78" s="98"/>
      <c r="AC78" s="12" t="s">
        <v>34</v>
      </c>
      <c r="AD78" s="46"/>
      <c r="AE78" s="10"/>
      <c r="AF78" s="64">
        <v>127.9248</v>
      </c>
      <c r="AG78" s="13">
        <v>3.0169448204890834</v>
      </c>
      <c r="AH78" s="68">
        <v>98669.835830618948</v>
      </c>
      <c r="AI78" s="49">
        <v>20.251500000000021</v>
      </c>
      <c r="AJ78" s="69">
        <v>1.780054792499367</v>
      </c>
      <c r="AK78" s="70">
        <v>3.0194949898919266</v>
      </c>
      <c r="AL78" s="50">
        <f t="shared" si="373"/>
        <v>8.4528208322674103E-2</v>
      </c>
      <c r="AM78" s="6">
        <v>0.1</v>
      </c>
      <c r="AN78" s="101"/>
      <c r="AO78" s="94"/>
      <c r="AP78" s="94"/>
      <c r="AQ78" s="97"/>
      <c r="AR78" s="97"/>
      <c r="AS78" s="94"/>
      <c r="AT78" s="94"/>
      <c r="AU78" s="98"/>
      <c r="AV78" s="48"/>
      <c r="AW78" s="45"/>
      <c r="AX78" s="98"/>
      <c r="AZ78" s="71" t="s">
        <v>34</v>
      </c>
      <c r="BA78" s="11" t="s">
        <v>106</v>
      </c>
      <c r="BB78" s="82" t="s">
        <v>107</v>
      </c>
      <c r="BC78" s="81">
        <v>16</v>
      </c>
      <c r="BD78" s="85">
        <v>242.86551</v>
      </c>
      <c r="BE78" s="43">
        <v>3.0400803282062125</v>
      </c>
      <c r="BF78" s="85">
        <f t="shared" si="413"/>
        <v>0.20509184981965811</v>
      </c>
      <c r="BG78" s="50">
        <v>646783.58858892799</v>
      </c>
      <c r="BH78" s="50">
        <v>19.9622977623313</v>
      </c>
      <c r="BI78" s="50">
        <v>12.101077033999999</v>
      </c>
      <c r="BJ78" s="50">
        <v>3.0570969695703041</v>
      </c>
      <c r="BK78" s="85">
        <f t="shared" si="414"/>
        <v>0.20623983739837398</v>
      </c>
      <c r="BL78" s="43">
        <f t="shared" si="415"/>
        <v>0.55974314909408707</v>
      </c>
      <c r="BM78" s="9">
        <v>0.39</v>
      </c>
      <c r="BN78" s="101"/>
      <c r="BO78" s="94"/>
      <c r="BP78" s="94"/>
      <c r="BQ78" s="97"/>
      <c r="BR78" s="97"/>
      <c r="BS78" s="94"/>
      <c r="BT78" s="94"/>
      <c r="BU78" s="98"/>
      <c r="BW78" s="45"/>
      <c r="BX78" s="98"/>
      <c r="BZ78" s="94"/>
      <c r="CA78" s="94"/>
      <c r="CB78" s="94"/>
      <c r="CC78" s="94"/>
      <c r="CD78" s="94"/>
      <c r="CE78" s="94"/>
      <c r="CG78" s="98"/>
      <c r="CH78" s="94"/>
      <c r="CI78" s="94"/>
      <c r="CJ78" s="94"/>
      <c r="CL78" s="97"/>
      <c r="CM78" s="97"/>
      <c r="CN78" s="100"/>
      <c r="CO78" s="99"/>
      <c r="CP78" s="97"/>
      <c r="CQ78" s="100"/>
      <c r="CR78" s="99"/>
      <c r="CS78" s="97"/>
      <c r="CT78" s="100"/>
    </row>
    <row r="79" spans="2:98" x14ac:dyDescent="0.3">
      <c r="C79" s="57"/>
      <c r="D79" s="58"/>
      <c r="E79" s="59"/>
      <c r="F79" s="59"/>
      <c r="G79" s="59"/>
      <c r="H79" s="61"/>
      <c r="I79" s="61"/>
      <c r="J79" s="61"/>
      <c r="K79" s="61"/>
      <c r="L79" s="61"/>
      <c r="M79" s="61"/>
      <c r="N79" s="61"/>
      <c r="O79" s="62"/>
      <c r="P79" s="63"/>
      <c r="Q79" s="90"/>
      <c r="R79" s="91"/>
      <c r="S79" s="91"/>
      <c r="T79" s="104"/>
      <c r="U79" s="104"/>
      <c r="V79" s="91"/>
      <c r="W79" s="91"/>
      <c r="X79" s="105"/>
      <c r="Z79" s="45"/>
      <c r="AA79" s="98"/>
      <c r="AC79" s="12" t="s">
        <v>34</v>
      </c>
      <c r="AD79" s="46"/>
      <c r="AE79" s="10"/>
      <c r="AF79" s="64">
        <v>66.059399999999997</v>
      </c>
      <c r="AG79" s="13">
        <v>6.0319488220070649</v>
      </c>
      <c r="AH79" s="68">
        <v>98853.072222222181</v>
      </c>
      <c r="AI79" s="49">
        <v>19.910500000000013</v>
      </c>
      <c r="AJ79" s="69">
        <v>1.785435558243667</v>
      </c>
      <c r="AK79" s="70">
        <v>6.0333726253910287</v>
      </c>
      <c r="AL79" s="50">
        <f t="shared" si="373"/>
        <v>2.3604367775288848E-2</v>
      </c>
      <c r="AM79" s="6">
        <v>0.1</v>
      </c>
      <c r="AN79" s="101">
        <f>AVERAGE(AL79:AL81)</f>
        <v>1.0626488519239792E-2</v>
      </c>
      <c r="AO79" s="94">
        <f>STDEV(AL79:AL81)</f>
        <v>4.1625018185392729E-2</v>
      </c>
      <c r="AP79" s="94">
        <f>COUNT(AM79:AM81)</f>
        <v>3</v>
      </c>
      <c r="AQ79" s="97">
        <f t="shared" ref="AQ79" si="549">TINV(0.05,AP79-1)</f>
        <v>4.3026527297494637</v>
      </c>
      <c r="AR79" s="97">
        <f t="shared" ref="AR79" si="550">AO79*AQ79/SQRT(AP79)</f>
        <v>0.10340227742662741</v>
      </c>
      <c r="AS79" s="94">
        <f>AVERAGE(AM79:AM81)</f>
        <v>0.10000000000000002</v>
      </c>
      <c r="AT79" s="94">
        <f t="shared" ref="AT79" si="551">SQRT(AR79^2+AS79^2)</f>
        <v>0.14384724876414295</v>
      </c>
      <c r="AU79" s="98">
        <f>AVERAGE(AG79:AG81)</f>
        <v>6.0402363323624355</v>
      </c>
      <c r="AV79" s="48"/>
      <c r="AW79" s="45"/>
      <c r="AX79" s="98">
        <f t="shared" ref="AX79" si="552">AVERAGE(AG79:AG81)</f>
        <v>6.0402363323624355</v>
      </c>
      <c r="AZ79" s="71" t="s">
        <v>34</v>
      </c>
      <c r="BA79" s="11" t="s">
        <v>101</v>
      </c>
      <c r="BB79" s="81" t="s">
        <v>60</v>
      </c>
      <c r="BC79" s="81">
        <v>23</v>
      </c>
      <c r="BD79" s="85">
        <v>180.625</v>
      </c>
      <c r="BE79" s="43">
        <v>5.9954830723264774</v>
      </c>
      <c r="BF79" s="85">
        <f t="shared" ref="BF79:BF81" si="553">BE79/3600*BD79</f>
        <v>0.30081503609415833</v>
      </c>
      <c r="BG79" s="50">
        <v>650234.72099754796</v>
      </c>
      <c r="BH79" s="50">
        <v>20.189171123996601</v>
      </c>
      <c r="BI79" s="50">
        <v>12.1574713792</v>
      </c>
      <c r="BJ79" s="50">
        <v>6.0355473035699205</v>
      </c>
      <c r="BK79" s="85">
        <f t="shared" ref="BK79:BK81" si="554">BJ79/3600*BD79</f>
        <v>0.30282520325203249</v>
      </c>
      <c r="BL79" s="43">
        <f t="shared" si="415"/>
        <v>0.66824025287251976</v>
      </c>
      <c r="BM79" s="9">
        <v>0.39</v>
      </c>
      <c r="BN79" s="101">
        <f t="shared" ref="BN79" si="555">AVERAGE(BL79:BL81)</f>
        <v>0.54181236812043776</v>
      </c>
      <c r="BO79" s="94">
        <f t="shared" ref="BO79" si="556">STDEV(BL79:BL81)</f>
        <v>0.11089537276298139</v>
      </c>
      <c r="BP79" s="94">
        <f t="shared" ref="BP79" si="557">COUNT(BM79:BM81)</f>
        <v>3</v>
      </c>
      <c r="BQ79" s="97">
        <f t="shared" ref="BQ79" si="558">TINV(0.05,BP79-1)</f>
        <v>4.3026527297494637</v>
      </c>
      <c r="BR79" s="97">
        <f t="shared" ref="BR79" si="559">BO79*BQ79/SQRT(BP79)</f>
        <v>0.2754793775391326</v>
      </c>
      <c r="BS79" s="94">
        <v>0.4</v>
      </c>
      <c r="BT79" s="94">
        <f t="shared" ref="BT79" si="560">SQRT(BR79^2+BS79^2)</f>
        <v>0.48568393781280023</v>
      </c>
      <c r="BU79" s="98">
        <f t="shared" ref="BU79" si="561">AVERAGE(BF79:BF81)</f>
        <v>0.30463295715906619</v>
      </c>
      <c r="BW79" s="45"/>
      <c r="BX79" s="98">
        <f t="shared" ref="BX79" si="562">AVERAGE(BE79:BE81)</f>
        <v>5.9965354335389724</v>
      </c>
      <c r="BZ79" s="94"/>
      <c r="CA79" s="94"/>
      <c r="CB79" s="94">
        <f t="shared" ref="CB79" si="563">AN79*CC79</f>
        <v>0.51355463999859441</v>
      </c>
      <c r="CC79" s="94">
        <f t="shared" ref="CC79" si="564">1/AT79^2</f>
        <v>48.327783827063655</v>
      </c>
      <c r="CD79" s="94">
        <f t="shared" ref="CD79" si="565">BN79*CE79</f>
        <v>2.2968965345465038</v>
      </c>
      <c r="CE79" s="94">
        <f t="shared" ref="CE79" si="566">1/BT79^2</f>
        <v>4.239284057900897</v>
      </c>
      <c r="CG79" s="98">
        <f t="shared" ref="CG79" si="567">AVERAGE(AA79,AX79,BX79)</f>
        <v>6.018385882950704</v>
      </c>
      <c r="CH79" s="94">
        <f t="shared" ref="CH79" si="568">SUM(BZ79,CB79,CD79)/SUM(CA79,CC79,CE79)</f>
        <v>5.3464103812968324E-2</v>
      </c>
      <c r="CI79" s="94">
        <f t="shared" ref="CI79" si="569">SUM(CA79,CC79,CE79)</f>
        <v>52.567067884964551</v>
      </c>
      <c r="CJ79" s="94">
        <f t="shared" si="542"/>
        <v>0.1379250415026303</v>
      </c>
      <c r="CL79" s="97"/>
      <c r="CM79" s="97"/>
      <c r="CN79" s="100"/>
      <c r="CO79" s="99">
        <f t="shared" ref="CO79" si="570">AN79-CH79</f>
        <v>-4.283761529372853E-2</v>
      </c>
      <c r="CP79" s="97">
        <f t="shared" ref="CP79" si="571">SQRT(AT79^2-CJ79^2)</f>
        <v>4.0849894779680138E-2</v>
      </c>
      <c r="CQ79" s="100">
        <f t="shared" ref="CQ79" si="572">ABS(CO79/CP79)</f>
        <v>1.0486591342467091</v>
      </c>
      <c r="CR79" s="99">
        <f t="shared" ref="CR79" si="573">BN79-CH79</f>
        <v>0.48834826430746942</v>
      </c>
      <c r="CS79" s="97">
        <f t="shared" ref="CS79" si="574">SQRT(BT79^2-CJ79^2)</f>
        <v>0.46568827596993001</v>
      </c>
      <c r="CT79" s="100">
        <f t="shared" ref="CT79" si="575">ABS(CR79/CS79)</f>
        <v>1.0486591342467093</v>
      </c>
    </row>
    <row r="80" spans="2:98" x14ac:dyDescent="0.3">
      <c r="C80" s="57"/>
      <c r="D80" s="58"/>
      <c r="E80" s="59"/>
      <c r="F80" s="59"/>
      <c r="G80" s="59"/>
      <c r="H80" s="61"/>
      <c r="I80" s="61"/>
      <c r="J80" s="61"/>
      <c r="K80" s="61"/>
      <c r="L80" s="61"/>
      <c r="M80" s="61"/>
      <c r="N80" s="61"/>
      <c r="O80" s="62"/>
      <c r="P80" s="63"/>
      <c r="Q80" s="90"/>
      <c r="R80" s="91"/>
      <c r="S80" s="91"/>
      <c r="T80" s="104"/>
      <c r="U80" s="104"/>
      <c r="V80" s="91"/>
      <c r="W80" s="91"/>
      <c r="X80" s="105"/>
      <c r="Z80" s="45"/>
      <c r="AA80" s="98"/>
      <c r="AC80" s="12" t="s">
        <v>34</v>
      </c>
      <c r="AD80" s="46"/>
      <c r="AE80" s="10"/>
      <c r="AF80" s="64">
        <v>61.864800000000002</v>
      </c>
      <c r="AG80" s="13">
        <v>6.0424875218166276</v>
      </c>
      <c r="AH80" s="68">
        <v>98659.658796296295</v>
      </c>
      <c r="AI80" s="49">
        <v>20.237500000000011</v>
      </c>
      <c r="AJ80" s="69">
        <v>1.7799561262589376</v>
      </c>
      <c r="AK80" s="70">
        <v>6.0403157664660405</v>
      </c>
      <c r="AL80" s="50">
        <f t="shared" si="373"/>
        <v>-3.5941412253577824E-2</v>
      </c>
      <c r="AM80" s="6">
        <v>0.1</v>
      </c>
      <c r="AN80" s="101"/>
      <c r="AO80" s="94"/>
      <c r="AP80" s="94"/>
      <c r="AQ80" s="97"/>
      <c r="AR80" s="97"/>
      <c r="AS80" s="94"/>
      <c r="AT80" s="94"/>
      <c r="AU80" s="98"/>
      <c r="AV80" s="48"/>
      <c r="AW80" s="45"/>
      <c r="AX80" s="98"/>
      <c r="AZ80" s="71" t="s">
        <v>34</v>
      </c>
      <c r="BA80" s="9" t="s">
        <v>102</v>
      </c>
      <c r="BB80" s="81" t="s">
        <v>60</v>
      </c>
      <c r="BC80" s="81">
        <v>24</v>
      </c>
      <c r="BD80" s="85">
        <v>187.03988000000001</v>
      </c>
      <c r="BE80" s="43">
        <v>5.9976734137974859</v>
      </c>
      <c r="BF80" s="85">
        <f t="shared" si="553"/>
        <v>0.3116122543321867</v>
      </c>
      <c r="BG80" s="50">
        <v>661467.81538151496</v>
      </c>
      <c r="BH80" s="50">
        <v>20.082764880274301</v>
      </c>
      <c r="BI80" s="50">
        <v>12.3804904993</v>
      </c>
      <c r="BJ80" s="50">
        <v>6.0253225662682075</v>
      </c>
      <c r="BK80" s="85">
        <f t="shared" si="554"/>
        <v>0.31304878048780488</v>
      </c>
      <c r="BL80" s="43">
        <f t="shared" si="415"/>
        <v>0.46099796643003799</v>
      </c>
      <c r="BM80" s="9">
        <v>0.39</v>
      </c>
      <c r="BN80" s="101"/>
      <c r="BO80" s="94"/>
      <c r="BP80" s="94"/>
      <c r="BQ80" s="97"/>
      <c r="BR80" s="97"/>
      <c r="BS80" s="94"/>
      <c r="BT80" s="94"/>
      <c r="BU80" s="98"/>
      <c r="BW80" s="45"/>
      <c r="BX80" s="98"/>
      <c r="BZ80" s="94"/>
      <c r="CA80" s="94"/>
      <c r="CB80" s="94"/>
      <c r="CC80" s="94"/>
      <c r="CD80" s="94"/>
      <c r="CE80" s="94"/>
      <c r="CG80" s="98"/>
      <c r="CH80" s="94"/>
      <c r="CI80" s="94"/>
      <c r="CJ80" s="94"/>
      <c r="CL80" s="97"/>
      <c r="CM80" s="97"/>
      <c r="CN80" s="100"/>
      <c r="CO80" s="99"/>
      <c r="CP80" s="97"/>
      <c r="CQ80" s="100"/>
      <c r="CR80" s="99"/>
      <c r="CS80" s="97"/>
      <c r="CT80" s="100"/>
    </row>
    <row r="81" spans="3:98" x14ac:dyDescent="0.3">
      <c r="C81" s="57"/>
      <c r="D81" s="58"/>
      <c r="E81" s="59"/>
      <c r="F81" s="59"/>
      <c r="G81" s="59"/>
      <c r="H81" s="61"/>
      <c r="I81" s="61"/>
      <c r="J81" s="61"/>
      <c r="K81" s="61"/>
      <c r="L81" s="61"/>
      <c r="M81" s="61"/>
      <c r="N81" s="61"/>
      <c r="O81" s="62"/>
      <c r="P81" s="63"/>
      <c r="Q81" s="90"/>
      <c r="R81" s="91"/>
      <c r="S81" s="91"/>
      <c r="T81" s="104"/>
      <c r="U81" s="104"/>
      <c r="V81" s="91"/>
      <c r="W81" s="91"/>
      <c r="X81" s="105"/>
      <c r="Z81" s="45"/>
      <c r="AA81" s="98"/>
      <c r="AC81" s="12" t="s">
        <v>34</v>
      </c>
      <c r="AD81" s="46"/>
      <c r="AE81" s="10"/>
      <c r="AF81" s="64">
        <v>62.913599999999995</v>
      </c>
      <c r="AG81" s="13">
        <v>6.0462726532636131</v>
      </c>
      <c r="AH81" s="68">
        <v>98840.280405405341</v>
      </c>
      <c r="AI81" s="49">
        <v>19.669499999999971</v>
      </c>
      <c r="AJ81" s="69">
        <v>1.7866738002920823</v>
      </c>
      <c r="AK81" s="70">
        <v>6.0489461040181478</v>
      </c>
      <c r="AL81" s="50">
        <f t="shared" si="373"/>
        <v>4.421651003600835E-2</v>
      </c>
      <c r="AM81" s="6">
        <v>0.1</v>
      </c>
      <c r="AN81" s="101"/>
      <c r="AO81" s="94"/>
      <c r="AP81" s="94"/>
      <c r="AQ81" s="97"/>
      <c r="AR81" s="97"/>
      <c r="AS81" s="94"/>
      <c r="AT81" s="94"/>
      <c r="AU81" s="98"/>
      <c r="AV81" s="48"/>
      <c r="AW81" s="45"/>
      <c r="AX81" s="98"/>
      <c r="AZ81" s="71" t="s">
        <v>34</v>
      </c>
      <c r="BA81" s="9" t="s">
        <v>103</v>
      </c>
      <c r="BB81" s="81" t="s">
        <v>60</v>
      </c>
      <c r="BC81" s="81">
        <v>25</v>
      </c>
      <c r="BD81" s="85">
        <v>180.99003999999999</v>
      </c>
      <c r="BE81" s="43">
        <v>5.9964498144929541</v>
      </c>
      <c r="BF81" s="85">
        <f t="shared" si="553"/>
        <v>0.30147158105085342</v>
      </c>
      <c r="BG81" s="50">
        <v>664702.28802375996</v>
      </c>
      <c r="BH81" s="50">
        <v>20.127142284668999</v>
      </c>
      <c r="BI81" s="50">
        <v>12.4412024427</v>
      </c>
      <c r="BJ81" s="50">
        <v>6.0262041316155761</v>
      </c>
      <c r="BK81" s="85">
        <f t="shared" si="554"/>
        <v>0.30296747967479676</v>
      </c>
      <c r="BL81" s="43">
        <f t="shared" si="415"/>
        <v>0.49619888505875548</v>
      </c>
      <c r="BM81" s="9">
        <v>0.39</v>
      </c>
      <c r="BN81" s="101"/>
      <c r="BO81" s="94"/>
      <c r="BP81" s="94"/>
      <c r="BQ81" s="97"/>
      <c r="BR81" s="97"/>
      <c r="BS81" s="94"/>
      <c r="BT81" s="94"/>
      <c r="BU81" s="98"/>
      <c r="BW81" s="45"/>
      <c r="BX81" s="98"/>
      <c r="BZ81" s="94"/>
      <c r="CA81" s="94"/>
      <c r="CB81" s="94"/>
      <c r="CC81" s="94"/>
      <c r="CD81" s="94"/>
      <c r="CE81" s="94"/>
      <c r="CG81" s="98"/>
      <c r="CH81" s="94"/>
      <c r="CI81" s="94"/>
      <c r="CJ81" s="94"/>
      <c r="CL81" s="97"/>
      <c r="CM81" s="97"/>
      <c r="CN81" s="100"/>
      <c r="CO81" s="99"/>
      <c r="CP81" s="97"/>
      <c r="CQ81" s="100"/>
      <c r="CR81" s="99"/>
      <c r="CS81" s="97"/>
      <c r="CT81" s="100"/>
    </row>
    <row r="82" spans="3:98" x14ac:dyDescent="0.3">
      <c r="C82" s="57"/>
      <c r="D82" s="58"/>
      <c r="E82" s="59"/>
      <c r="F82" s="59"/>
      <c r="G82" s="59"/>
      <c r="H82" s="61"/>
      <c r="I82" s="61"/>
      <c r="J82" s="61"/>
      <c r="K82" s="61"/>
      <c r="L82" s="61"/>
      <c r="M82" s="61"/>
      <c r="N82" s="61"/>
      <c r="O82" s="62"/>
      <c r="P82" s="63"/>
      <c r="Q82" s="90"/>
      <c r="R82" s="91"/>
      <c r="S82" s="91"/>
      <c r="T82" s="104"/>
      <c r="U82" s="104"/>
      <c r="V82" s="91"/>
      <c r="W82" s="91"/>
      <c r="X82" s="105"/>
      <c r="Z82" s="45"/>
      <c r="AA82" s="98"/>
      <c r="AC82" s="12" t="s">
        <v>34</v>
      </c>
      <c r="AD82" s="46"/>
      <c r="AE82" s="10"/>
      <c r="AF82" s="64">
        <v>61.864800000000002</v>
      </c>
      <c r="AG82" s="13">
        <v>10.024960976702321</v>
      </c>
      <c r="AH82" s="68">
        <v>98726.645221445258</v>
      </c>
      <c r="AI82" s="49">
        <v>20.04649999999998</v>
      </c>
      <c r="AJ82" s="69">
        <v>1.7823249759670177</v>
      </c>
      <c r="AK82" s="70">
        <v>10.058125176821463</v>
      </c>
      <c r="AL82" s="50">
        <f t="shared" si="373"/>
        <v>0.33081625151673316</v>
      </c>
      <c r="AM82" s="6">
        <v>0.1</v>
      </c>
      <c r="AN82" s="101">
        <f>AVERAGE(AL82:AL84)</f>
        <v>0.28522654628305122</v>
      </c>
      <c r="AO82" s="94">
        <f>STDEV(AL82:AL84)</f>
        <v>0.18358009604105277</v>
      </c>
      <c r="AP82" s="94">
        <f>COUNT(AM82:AM84)</f>
        <v>3</v>
      </c>
      <c r="AQ82" s="97">
        <f t="shared" ref="AQ82" si="576">TINV(0.05,AP82-1)</f>
        <v>4.3026527297494637</v>
      </c>
      <c r="AR82" s="97">
        <f t="shared" ref="AR82" si="577">AO82*AQ82/SQRT(AP82)</f>
        <v>0.45603823970232688</v>
      </c>
      <c r="AS82" s="94">
        <f>AVERAGE(AM82:AM84)</f>
        <v>0.10000000000000002</v>
      </c>
      <c r="AT82" s="94">
        <f t="shared" ref="AT82" si="578">SQRT(AR82^2+AS82^2)</f>
        <v>0.46687351185390347</v>
      </c>
      <c r="AU82" s="98">
        <f>AVERAGE(AG82:AG84)</f>
        <v>10.031887098400588</v>
      </c>
      <c r="AV82" s="48"/>
      <c r="AW82" s="45"/>
      <c r="AX82" s="98">
        <f t="shared" ref="AX82" si="579">AVERAGE(AG82:AG84)</f>
        <v>10.031887098400588</v>
      </c>
      <c r="AZ82" s="71" t="s">
        <v>34</v>
      </c>
      <c r="BA82" s="9" t="s">
        <v>98</v>
      </c>
      <c r="BB82" s="81" t="s">
        <v>60</v>
      </c>
      <c r="BC82" s="81">
        <v>20</v>
      </c>
      <c r="BD82" s="85">
        <v>181.10866999999999</v>
      </c>
      <c r="BE82" s="43">
        <v>10.186469780399394</v>
      </c>
      <c r="BF82" s="85">
        <f t="shared" ref="BF82:BF87" si="580">BE82/3600*BD82</f>
        <v>0.5124605538675906</v>
      </c>
      <c r="BG82" s="50">
        <v>504798.81704718899</v>
      </c>
      <c r="BH82" s="50">
        <v>18.750552295842201</v>
      </c>
      <c r="BI82" s="50">
        <v>9.4115175077799993</v>
      </c>
      <c r="BJ82" s="50">
        <v>10.212302842077378</v>
      </c>
      <c r="BK82" s="85">
        <f t="shared" ref="BK82:BK84" si="581">BJ82/3600*BD82</f>
        <v>0.51376016260162605</v>
      </c>
      <c r="BL82" s="43">
        <f t="shared" si="415"/>
        <v>0.25360171123946518</v>
      </c>
      <c r="BM82" s="9">
        <v>0.39</v>
      </c>
      <c r="BN82" s="101">
        <f t="shared" ref="BN82" si="582">AVERAGE(BL82:BL84)</f>
        <v>0.22946234812523567</v>
      </c>
      <c r="BO82" s="94">
        <f t="shared" ref="BO82" si="583">STDEV(BL82:BL84)</f>
        <v>2.6571209733425156E-2</v>
      </c>
      <c r="BP82" s="94">
        <f t="shared" ref="BP82" si="584">COUNT(BM82:BM84)</f>
        <v>3</v>
      </c>
      <c r="BQ82" s="97">
        <f t="shared" ref="BQ82" si="585">TINV(0.05,BP82-1)</f>
        <v>4.3026527297494637</v>
      </c>
      <c r="BR82" s="97">
        <f t="shared" ref="BR82" si="586">BO82*BQ82/SQRT(BP82)</f>
        <v>6.6006544145628884E-2</v>
      </c>
      <c r="BS82" s="94">
        <v>0.4</v>
      </c>
      <c r="BT82" s="94">
        <f t="shared" ref="BT82" si="587">SQRT(BR82^2+BS82^2)</f>
        <v>0.4054095014550706</v>
      </c>
      <c r="BU82" s="98">
        <f t="shared" ref="BU82" si="588">AVERAGE(BF82:BF84)</f>
        <v>0.52563159581667673</v>
      </c>
      <c r="BW82" s="45"/>
      <c r="BX82" s="98">
        <f t="shared" ref="BX82" si="589">AVERAGE(BE82:BE84)</f>
        <v>10.197696034378197</v>
      </c>
      <c r="BZ82" s="94"/>
      <c r="CA82" s="94"/>
      <c r="CB82" s="94">
        <f t="shared" ref="CB82" si="590">AN82*CC82</f>
        <v>1.3085534701911719</v>
      </c>
      <c r="CC82" s="94">
        <f t="shared" ref="CC82" si="591">1/AT82^2</f>
        <v>4.587768870898147</v>
      </c>
      <c r="CD82" s="94">
        <f t="shared" ref="CD82" si="592">BN82*CE82</f>
        <v>1.3961226974169048</v>
      </c>
      <c r="CE82" s="94">
        <f t="shared" ref="CE82" si="593">1/BT82^2</f>
        <v>6.0843214968537263</v>
      </c>
      <c r="CG82" s="98">
        <f t="shared" ref="CG82" si="594">AVERAGE(AA82,AX82,BX82)</f>
        <v>10.114791566389393</v>
      </c>
      <c r="CH82" s="94">
        <f t="shared" ref="CH82" si="595">SUM(BZ82,CB82,CD82)/SUM(CA82,CC82,CE82)</f>
        <v>0.25343452635866592</v>
      </c>
      <c r="CI82" s="94">
        <f t="shared" ref="CI82" si="596">SUM(CA82,CC82,CE82)</f>
        <v>10.672090367751874</v>
      </c>
      <c r="CJ82" s="94">
        <f t="shared" si="542"/>
        <v>0.30610840396555455</v>
      </c>
      <c r="CL82" s="97"/>
      <c r="CM82" s="97"/>
      <c r="CN82" s="100"/>
      <c r="CO82" s="99">
        <f t="shared" ref="CO82" si="597">AN82-CH82</f>
        <v>3.1792019924385295E-2</v>
      </c>
      <c r="CP82" s="97">
        <f t="shared" ref="CP82" si="598">SQRT(AT82^2-CJ82^2)</f>
        <v>0.35251740537519249</v>
      </c>
      <c r="CQ82" s="100">
        <f t="shared" ref="CQ82" si="599">ABS(CO82/CP82)</f>
        <v>9.0185674351450265E-2</v>
      </c>
      <c r="CR82" s="99">
        <f t="shared" ref="CR82" si="600">BN82-CH82</f>
        <v>-2.3972178233430258E-2</v>
      </c>
      <c r="CS82" s="97">
        <f t="shared" ref="CS82" si="601">SQRT(BT82^2-CJ82^2)</f>
        <v>0.26580915878071198</v>
      </c>
      <c r="CT82" s="100">
        <f t="shared" ref="CT82" si="602">ABS(CR82/CS82)</f>
        <v>9.0185674351450376E-2</v>
      </c>
    </row>
    <row r="83" spans="3:98" x14ac:dyDescent="0.3">
      <c r="C83" s="57"/>
      <c r="D83" s="58"/>
      <c r="E83" s="59"/>
      <c r="F83" s="59"/>
      <c r="G83" s="59"/>
      <c r="H83" s="61"/>
      <c r="I83" s="61"/>
      <c r="J83" s="61"/>
      <c r="K83" s="61"/>
      <c r="L83" s="61"/>
      <c r="M83" s="61"/>
      <c r="N83" s="61"/>
      <c r="O83" s="62"/>
      <c r="P83" s="63"/>
      <c r="Q83" s="90"/>
      <c r="R83" s="91"/>
      <c r="S83" s="91"/>
      <c r="T83" s="104"/>
      <c r="U83" s="104"/>
      <c r="V83" s="91"/>
      <c r="W83" s="91"/>
      <c r="X83" s="105"/>
      <c r="Z83" s="45"/>
      <c r="AA83" s="98"/>
      <c r="AC83" s="12" t="s">
        <v>34</v>
      </c>
      <c r="AD83" s="46"/>
      <c r="AE83" s="10"/>
      <c r="AF83" s="64">
        <v>61.864800000000002</v>
      </c>
      <c r="AG83" s="13">
        <v>10.033910584167355</v>
      </c>
      <c r="AH83" s="68">
        <v>98755.484953703635</v>
      </c>
      <c r="AI83" s="49">
        <v>20.112000000000023</v>
      </c>
      <c r="AJ83" s="69">
        <v>1.7824474252487028</v>
      </c>
      <c r="AK83" s="70">
        <v>10.078231965157066</v>
      </c>
      <c r="AL83" s="50">
        <f t="shared" si="373"/>
        <v>0.44171592539050786</v>
      </c>
      <c r="AM83" s="6">
        <v>0.1</v>
      </c>
      <c r="AN83" s="101"/>
      <c r="AO83" s="94"/>
      <c r="AP83" s="94"/>
      <c r="AQ83" s="97"/>
      <c r="AR83" s="97"/>
      <c r="AS83" s="94"/>
      <c r="AT83" s="94"/>
      <c r="AU83" s="98"/>
      <c r="AV83" s="48"/>
      <c r="AW83" s="45"/>
      <c r="AX83" s="98"/>
      <c r="AZ83" s="71" t="s">
        <v>34</v>
      </c>
      <c r="BA83" s="9" t="s">
        <v>99</v>
      </c>
      <c r="BB83" s="81" t="s">
        <v>60</v>
      </c>
      <c r="BC83" s="81">
        <v>21</v>
      </c>
      <c r="BD83" s="85">
        <v>188.196</v>
      </c>
      <c r="BE83" s="43">
        <v>10.196410200163012</v>
      </c>
      <c r="BF83" s="85">
        <f t="shared" si="580"/>
        <v>0.53303433723052174</v>
      </c>
      <c r="BG83" s="85">
        <v>507448.22445074795</v>
      </c>
      <c r="BH83" s="85">
        <v>19.110582356500899</v>
      </c>
      <c r="BI83" s="85">
        <v>9.44956085958</v>
      </c>
      <c r="BJ83" s="85">
        <v>10.216904120198507</v>
      </c>
      <c r="BK83" s="85">
        <f t="shared" si="581"/>
        <v>0.53410569105691053</v>
      </c>
      <c r="BL83" s="43">
        <f t="shared" si="415"/>
        <v>0.20099152185114461</v>
      </c>
      <c r="BM83" s="9">
        <v>0.39</v>
      </c>
      <c r="BN83" s="101"/>
      <c r="BO83" s="94"/>
      <c r="BP83" s="94"/>
      <c r="BQ83" s="97"/>
      <c r="BR83" s="97"/>
      <c r="BS83" s="94"/>
      <c r="BT83" s="94"/>
      <c r="BU83" s="98"/>
      <c r="BW83" s="45"/>
      <c r="BX83" s="98"/>
      <c r="BZ83" s="94"/>
      <c r="CA83" s="94"/>
      <c r="CB83" s="94"/>
      <c r="CC83" s="94"/>
      <c r="CD83" s="94"/>
      <c r="CE83" s="94"/>
      <c r="CG83" s="98"/>
      <c r="CH83" s="94"/>
      <c r="CI83" s="94"/>
      <c r="CJ83" s="94"/>
      <c r="CL83" s="97"/>
      <c r="CM83" s="97"/>
      <c r="CN83" s="100"/>
      <c r="CO83" s="99"/>
      <c r="CP83" s="97"/>
      <c r="CQ83" s="100"/>
      <c r="CR83" s="99"/>
      <c r="CS83" s="97"/>
      <c r="CT83" s="100"/>
    </row>
    <row r="84" spans="3:98" x14ac:dyDescent="0.3">
      <c r="C84" s="57"/>
      <c r="D84" s="58"/>
      <c r="E84" s="59"/>
      <c r="F84" s="59"/>
      <c r="G84" s="59"/>
      <c r="H84" s="61"/>
      <c r="I84" s="61"/>
      <c r="J84" s="61"/>
      <c r="K84" s="61"/>
      <c r="L84" s="61"/>
      <c r="M84" s="61"/>
      <c r="N84" s="61"/>
      <c r="O84" s="62"/>
      <c r="P84" s="63"/>
      <c r="Q84" s="90"/>
      <c r="R84" s="91"/>
      <c r="S84" s="91"/>
      <c r="T84" s="104"/>
      <c r="U84" s="104"/>
      <c r="V84" s="91"/>
      <c r="W84" s="91"/>
      <c r="X84" s="105"/>
      <c r="Z84" s="45"/>
      <c r="AA84" s="98"/>
      <c r="AC84" s="12" t="s">
        <v>34</v>
      </c>
      <c r="AD84" s="46"/>
      <c r="AE84" s="10"/>
      <c r="AF84" s="64">
        <v>62.913599999999995</v>
      </c>
      <c r="AG84" s="13">
        <v>10.036789734332089</v>
      </c>
      <c r="AH84" s="68">
        <v>98885.622747747708</v>
      </c>
      <c r="AI84" s="49">
        <v>19.90949999999998</v>
      </c>
      <c r="AJ84" s="69">
        <v>1.786029564227636</v>
      </c>
      <c r="AK84" s="70">
        <v>10.045135070256633</v>
      </c>
      <c r="AL84" s="50">
        <f t="shared" si="373"/>
        <v>8.3147461941912568E-2</v>
      </c>
      <c r="AM84" s="6">
        <v>0.1</v>
      </c>
      <c r="AN84" s="101"/>
      <c r="AO84" s="94"/>
      <c r="AP84" s="94"/>
      <c r="AQ84" s="97"/>
      <c r="AR84" s="97"/>
      <c r="AS84" s="94"/>
      <c r="AT84" s="94"/>
      <c r="AU84" s="98"/>
      <c r="AV84" s="48"/>
      <c r="AW84" s="45"/>
      <c r="AX84" s="98"/>
      <c r="AZ84" s="71" t="s">
        <v>34</v>
      </c>
      <c r="BA84" s="9" t="s">
        <v>100</v>
      </c>
      <c r="BB84" s="81" t="s">
        <v>60</v>
      </c>
      <c r="BC84" s="81">
        <v>22</v>
      </c>
      <c r="BD84" s="85">
        <v>187.36538999999999</v>
      </c>
      <c r="BE84" s="43">
        <v>10.210208122572183</v>
      </c>
      <c r="BF84" s="85">
        <f t="shared" si="580"/>
        <v>0.53139989635191798</v>
      </c>
      <c r="BG84" s="85">
        <v>485549.89971359895</v>
      </c>
      <c r="BH84" s="85">
        <v>19.599515533087999</v>
      </c>
      <c r="BI84" s="85">
        <v>9.0141271117899997</v>
      </c>
      <c r="BJ84" s="85">
        <v>10.234078957282085</v>
      </c>
      <c r="BK84" s="85">
        <f t="shared" si="581"/>
        <v>0.53264227642276418</v>
      </c>
      <c r="BL84" s="43">
        <f t="shared" si="415"/>
        <v>0.23379381128509719</v>
      </c>
      <c r="BM84" s="9">
        <v>0.39</v>
      </c>
      <c r="BN84" s="101"/>
      <c r="BO84" s="94"/>
      <c r="BP84" s="94"/>
      <c r="BQ84" s="97"/>
      <c r="BR84" s="97"/>
      <c r="BS84" s="94"/>
      <c r="BT84" s="94"/>
      <c r="BU84" s="98"/>
      <c r="BW84" s="45"/>
      <c r="BX84" s="98"/>
      <c r="BZ84" s="94"/>
      <c r="CA84" s="94"/>
      <c r="CB84" s="94"/>
      <c r="CC84" s="94"/>
      <c r="CD84" s="94"/>
      <c r="CE84" s="94"/>
      <c r="CG84" s="98"/>
      <c r="CH84" s="94"/>
      <c r="CI84" s="94"/>
      <c r="CJ84" s="94"/>
      <c r="CL84" s="97"/>
      <c r="CM84" s="97"/>
      <c r="CN84" s="100"/>
      <c r="CO84" s="99"/>
      <c r="CP84" s="97"/>
      <c r="CQ84" s="100"/>
      <c r="CR84" s="99"/>
      <c r="CS84" s="97"/>
      <c r="CT84" s="100"/>
    </row>
    <row r="85" spans="3:98" x14ac:dyDescent="0.3">
      <c r="C85" s="57"/>
      <c r="D85" s="58"/>
      <c r="E85" s="59"/>
      <c r="F85" s="59"/>
      <c r="G85" s="59"/>
      <c r="H85" s="61"/>
      <c r="I85" s="61"/>
      <c r="J85" s="61"/>
      <c r="K85" s="61"/>
      <c r="L85" s="61"/>
      <c r="M85" s="61"/>
      <c r="N85" s="61"/>
      <c r="O85" s="62"/>
      <c r="P85" s="63"/>
      <c r="Q85" s="90"/>
      <c r="R85" s="91"/>
      <c r="S85" s="91"/>
      <c r="T85" s="104"/>
      <c r="U85" s="104"/>
      <c r="V85" s="91"/>
      <c r="W85" s="91"/>
      <c r="X85" s="105"/>
      <c r="Z85" s="45"/>
      <c r="AA85" s="98"/>
      <c r="AC85" s="12" t="s">
        <v>34</v>
      </c>
      <c r="AD85" s="46"/>
      <c r="AE85" s="10"/>
      <c r="AF85" s="64">
        <v>61.864800000000002</v>
      </c>
      <c r="AG85" s="13">
        <v>14.963976682747706</v>
      </c>
      <c r="AH85" s="68">
        <v>98835.350114942499</v>
      </c>
      <c r="AI85" s="49">
        <v>20.097500000000025</v>
      </c>
      <c r="AJ85" s="69">
        <v>1.7839771260533055</v>
      </c>
      <c r="AK85" s="70">
        <v>14.978374557768932</v>
      </c>
      <c r="AL85" s="50">
        <f t="shared" si="373"/>
        <v>9.6216903611093821E-2</v>
      </c>
      <c r="AM85" s="6">
        <v>0.1</v>
      </c>
      <c r="AN85" s="101">
        <f>AVERAGE(AL85:AL87)</f>
        <v>6.8932201641709587E-2</v>
      </c>
      <c r="AO85" s="94">
        <f>STDEV(AL85:AL87)</f>
        <v>8.0442591213406328E-2</v>
      </c>
      <c r="AP85" s="94">
        <f>COUNT(AM85:AM87)</f>
        <v>3</v>
      </c>
      <c r="AQ85" s="97">
        <f t="shared" ref="AQ85" si="603">TINV(0.05,AP85-1)</f>
        <v>4.3026527297494637</v>
      </c>
      <c r="AR85" s="97">
        <f t="shared" ref="AR85" si="604">AO85*AQ85/SQRT(AP85)</f>
        <v>0.19983047446413849</v>
      </c>
      <c r="AS85" s="94">
        <f>AVERAGE(AM85:AM87)</f>
        <v>0.10000000000000002</v>
      </c>
      <c r="AT85" s="94">
        <f t="shared" ref="AT85" si="605">SQRT(AR85^2+AS85^2)</f>
        <v>0.22345518236228648</v>
      </c>
      <c r="AU85" s="98">
        <f>AVERAGE(AG85:AG87)</f>
        <v>14.974062579674886</v>
      </c>
      <c r="AV85" s="48"/>
      <c r="AW85" s="45"/>
      <c r="AX85" s="98">
        <f t="shared" ref="AX85" si="606">AVERAGE(AG85:AG87)</f>
        <v>14.974062579674886</v>
      </c>
      <c r="AZ85" s="71" t="s">
        <v>34</v>
      </c>
      <c r="BA85" s="9" t="s">
        <v>114</v>
      </c>
      <c r="BB85" s="81" t="s">
        <v>61</v>
      </c>
      <c r="BC85" s="81">
        <v>26</v>
      </c>
      <c r="BD85" s="85">
        <v>187.13056</v>
      </c>
      <c r="BE85" s="43">
        <v>15.361225610113488</v>
      </c>
      <c r="BF85" s="85">
        <f t="shared" si="580"/>
        <v>0.79848743075191086</v>
      </c>
      <c r="BG85" s="85">
        <v>331630.73503358901</v>
      </c>
      <c r="BH85" s="85">
        <v>20.946224460707601</v>
      </c>
      <c r="BI85" s="85">
        <v>6.0745582840600001</v>
      </c>
      <c r="BJ85" s="85">
        <v>15.452104539257277</v>
      </c>
      <c r="BK85" s="85">
        <f t="shared" ref="BK85:BK87" si="607">BJ85/3600*BD85</f>
        <v>0.80321138211382115</v>
      </c>
      <c r="BL85" s="43">
        <f t="shared" ref="BL85:BL87" si="608">(BK85-BF85)/BF85*100</f>
        <v>0.59161248881048567</v>
      </c>
      <c r="BM85" s="9">
        <v>0.39</v>
      </c>
      <c r="BN85" s="101">
        <f t="shared" ref="BN85" si="609">AVERAGE(BL85:BL87)</f>
        <v>8.3963464022688172E-2</v>
      </c>
      <c r="BO85" s="94">
        <f t="shared" ref="BO85" si="610">STDEV(BL85:BL87)</f>
        <v>0.45952279672070723</v>
      </c>
      <c r="BP85" s="94">
        <f t="shared" ref="BP85" si="611">COUNT(BM85:BM87)</f>
        <v>3</v>
      </c>
      <c r="BQ85" s="97">
        <f t="shared" ref="BQ85" si="612">TINV(0.05,BP85-1)</f>
        <v>4.3026527297494637</v>
      </c>
      <c r="BR85" s="97">
        <f t="shared" ref="BR85" si="613">BO85*BQ85/SQRT(BP85)</f>
        <v>1.1415179087428902</v>
      </c>
      <c r="BS85" s="94">
        <v>0.4</v>
      </c>
      <c r="BT85" s="94">
        <f t="shared" ref="BT85" si="614">SQRT(BR85^2+BS85^2)</f>
        <v>1.2095714679094995</v>
      </c>
      <c r="BU85" s="98">
        <f t="shared" ref="BU85" si="615">AVERAGE(BF85:BF87)</f>
        <v>0.77962267939759078</v>
      </c>
      <c r="BW85" s="45"/>
      <c r="BX85" s="98">
        <f t="shared" ref="BX85" si="616">AVERAGE(BE85:BE87)</f>
        <v>15.336907652910918</v>
      </c>
      <c r="BZ85" s="94"/>
      <c r="CA85" s="94"/>
      <c r="CB85" s="94">
        <f t="shared" ref="CB85" si="617">AN85*CC85</f>
        <v>1.380515500383793</v>
      </c>
      <c r="CC85" s="94">
        <f t="shared" ref="CC85" si="618">1/AT85^2</f>
        <v>20.02714939469551</v>
      </c>
      <c r="CD85" s="94">
        <f t="shared" ref="CD85" si="619">BN85*CE85</f>
        <v>5.7388817992741356E-2</v>
      </c>
      <c r="CE85" s="94">
        <f t="shared" ref="CE85" si="620">1/BT85^2</f>
        <v>0.68349750288094413</v>
      </c>
      <c r="CG85" s="98">
        <f t="shared" ref="CG85" si="621">AVERAGE(AA85,AX85,BX85)</f>
        <v>15.155485116292901</v>
      </c>
      <c r="CH85" s="94">
        <f t="shared" ref="CH85" si="622">SUM(BZ85,CB85,CD85)/SUM(CA85,CC85,CE85)</f>
        <v>6.9428266798599952E-2</v>
      </c>
      <c r="CI85" s="94">
        <f t="shared" ref="CI85" si="623">SUM(CA85,CC85,CE85)</f>
        <v>20.710646897576453</v>
      </c>
      <c r="CJ85" s="94">
        <f t="shared" si="542"/>
        <v>0.21973698831895253</v>
      </c>
      <c r="CL85" s="97"/>
      <c r="CM85" s="97"/>
      <c r="CN85" s="100"/>
      <c r="CO85" s="99">
        <f t="shared" ref="CO85" si="624">AN85-CH85</f>
        <v>-4.9606515689036568E-4</v>
      </c>
      <c r="CP85" s="97">
        <f t="shared" ref="CP85" si="625">SQRT(AT85^2-CJ85^2)</f>
        <v>4.0594020361122508E-2</v>
      </c>
      <c r="CQ85" s="100">
        <f t="shared" ref="CQ85" si="626">ABS(CO85/CP85)</f>
        <v>1.2220153423518863E-2</v>
      </c>
      <c r="CR85" s="99">
        <f t="shared" ref="CR85" si="627">BN85-CH85</f>
        <v>1.453519722408822E-2</v>
      </c>
      <c r="CS85" s="97">
        <f t="shared" ref="CS85" si="628">SQRT(BT85^2-CJ85^2)</f>
        <v>1.1894447410221536</v>
      </c>
      <c r="CT85" s="100">
        <f t="shared" ref="CT85" si="629">ABS(CR85/CS85)</f>
        <v>1.222015342351873E-2</v>
      </c>
    </row>
    <row r="86" spans="3:98" x14ac:dyDescent="0.3">
      <c r="C86" s="57"/>
      <c r="D86" s="58"/>
      <c r="E86" s="59"/>
      <c r="F86" s="59"/>
      <c r="G86" s="59"/>
      <c r="H86" s="61"/>
      <c r="I86" s="61"/>
      <c r="J86" s="61"/>
      <c r="K86" s="61"/>
      <c r="L86" s="61"/>
      <c r="M86" s="61"/>
      <c r="N86" s="61"/>
      <c r="O86" s="62"/>
      <c r="P86" s="63"/>
      <c r="Q86" s="90"/>
      <c r="R86" s="91"/>
      <c r="S86" s="91"/>
      <c r="T86" s="104"/>
      <c r="U86" s="104"/>
      <c r="V86" s="91"/>
      <c r="W86" s="91"/>
      <c r="X86" s="105"/>
      <c r="Z86" s="45"/>
      <c r="AA86" s="98"/>
      <c r="AC86" s="12" t="s">
        <v>34</v>
      </c>
      <c r="AD86" s="46"/>
      <c r="AE86" s="10"/>
      <c r="AF86" s="64">
        <v>63.962400000000002</v>
      </c>
      <c r="AG86" s="13">
        <v>14.971867835034624</v>
      </c>
      <c r="AH86" s="68">
        <v>98983.181015452501</v>
      </c>
      <c r="AI86" s="49">
        <v>19.817999999999984</v>
      </c>
      <c r="AJ86" s="69">
        <v>1.788349984184354</v>
      </c>
      <c r="AK86" s="70">
        <v>14.991658208953854</v>
      </c>
      <c r="AL86" s="50">
        <f t="shared" si="373"/>
        <v>0.13218373376847573</v>
      </c>
      <c r="AM86" s="6">
        <v>0.1</v>
      </c>
      <c r="AN86" s="101"/>
      <c r="AO86" s="94"/>
      <c r="AP86" s="94"/>
      <c r="AQ86" s="97"/>
      <c r="AR86" s="97"/>
      <c r="AS86" s="94"/>
      <c r="AT86" s="94"/>
      <c r="AU86" s="98"/>
      <c r="AV86" s="48"/>
      <c r="AW86" s="45"/>
      <c r="AX86" s="98"/>
      <c r="AZ86" s="71" t="s">
        <v>34</v>
      </c>
      <c r="BA86" s="9" t="s">
        <v>115</v>
      </c>
      <c r="BB86" s="81" t="s">
        <v>61</v>
      </c>
      <c r="BC86" s="81">
        <v>27</v>
      </c>
      <c r="BD86" s="85">
        <v>180.80653000000001</v>
      </c>
      <c r="BE86" s="43">
        <v>15.336038185125442</v>
      </c>
      <c r="BF86" s="85">
        <f t="shared" si="580"/>
        <v>0.77023773561111919</v>
      </c>
      <c r="BG86" s="85">
        <v>399876.04790819803</v>
      </c>
      <c r="BH86" s="85">
        <v>20.002660639124102</v>
      </c>
      <c r="BI86" s="85">
        <v>7.3772549815800001</v>
      </c>
      <c r="BJ86" s="85">
        <v>15.330495300897512</v>
      </c>
      <c r="BK86" s="85">
        <f t="shared" si="607"/>
        <v>0.76995934959349588</v>
      </c>
      <c r="BL86" s="43">
        <f t="shared" si="608"/>
        <v>-3.6142869240551434E-2</v>
      </c>
      <c r="BM86" s="9">
        <v>0.39</v>
      </c>
      <c r="BN86" s="101"/>
      <c r="BO86" s="94"/>
      <c r="BP86" s="94"/>
      <c r="BQ86" s="97"/>
      <c r="BR86" s="97"/>
      <c r="BS86" s="94"/>
      <c r="BT86" s="94"/>
      <c r="BU86" s="98"/>
      <c r="BW86" s="45"/>
      <c r="BX86" s="98"/>
      <c r="BZ86" s="94"/>
      <c r="CA86" s="94"/>
      <c r="CB86" s="94"/>
      <c r="CC86" s="94"/>
      <c r="CD86" s="94"/>
      <c r="CE86" s="94"/>
      <c r="CG86" s="98"/>
      <c r="CH86" s="94"/>
      <c r="CI86" s="94"/>
      <c r="CJ86" s="94"/>
      <c r="CL86" s="97"/>
      <c r="CM86" s="97"/>
      <c r="CN86" s="100"/>
      <c r="CO86" s="99"/>
      <c r="CP86" s="97"/>
      <c r="CQ86" s="100"/>
      <c r="CR86" s="99"/>
      <c r="CS86" s="97"/>
      <c r="CT86" s="100"/>
    </row>
    <row r="87" spans="3:98" x14ac:dyDescent="0.3">
      <c r="C87" s="57"/>
      <c r="D87" s="58"/>
      <c r="E87" s="59"/>
      <c r="F87" s="59"/>
      <c r="G87" s="59"/>
      <c r="H87" s="61"/>
      <c r="I87" s="61"/>
      <c r="J87" s="61"/>
      <c r="K87" s="61"/>
      <c r="L87" s="61"/>
      <c r="M87" s="61"/>
      <c r="N87" s="61"/>
      <c r="O87" s="62"/>
      <c r="P87" s="63"/>
      <c r="Q87" s="90"/>
      <c r="R87" s="91"/>
      <c r="S87" s="91"/>
      <c r="T87" s="104"/>
      <c r="U87" s="104"/>
      <c r="V87" s="91"/>
      <c r="W87" s="91"/>
      <c r="X87" s="105"/>
      <c r="Z87" s="45"/>
      <c r="AA87" s="98"/>
      <c r="AC87" s="12" t="s">
        <v>34</v>
      </c>
      <c r="AD87" s="46"/>
      <c r="AE87" s="10"/>
      <c r="AF87" s="64">
        <v>61.864800000000002</v>
      </c>
      <c r="AG87" s="13">
        <v>14.986343221242327</v>
      </c>
      <c r="AH87" s="68">
        <v>98964.235616438353</v>
      </c>
      <c r="AI87" s="49">
        <v>19.689000000000021</v>
      </c>
      <c r="AJ87" s="69">
        <v>1.7887953380487591</v>
      </c>
      <c r="AK87" s="70">
        <v>14.983105566789076</v>
      </c>
      <c r="AL87" s="50">
        <f t="shared" si="373"/>
        <v>-2.1604032454440807E-2</v>
      </c>
      <c r="AM87" s="6">
        <v>0.1</v>
      </c>
      <c r="AN87" s="101"/>
      <c r="AO87" s="94"/>
      <c r="AP87" s="94"/>
      <c r="AQ87" s="97"/>
      <c r="AR87" s="97"/>
      <c r="AS87" s="94"/>
      <c r="AT87" s="94"/>
      <c r="AU87" s="98"/>
      <c r="AV87" s="48"/>
      <c r="AW87" s="45"/>
      <c r="AX87" s="98"/>
      <c r="AZ87" s="71" t="s">
        <v>34</v>
      </c>
      <c r="BA87" s="9" t="s">
        <v>116</v>
      </c>
      <c r="BB87" s="81" t="s">
        <v>117</v>
      </c>
      <c r="BC87" s="81">
        <v>28</v>
      </c>
      <c r="BD87" s="85">
        <v>181.05081999999999</v>
      </c>
      <c r="BE87" s="43">
        <v>15.313459163493823</v>
      </c>
      <c r="BF87" s="85">
        <f t="shared" si="580"/>
        <v>0.77014287182974184</v>
      </c>
      <c r="BG87" s="85">
        <v>431114.53262654599</v>
      </c>
      <c r="BH87" s="85">
        <v>19.397176822226399</v>
      </c>
      <c r="BI87" s="85">
        <v>7.9851584891299998</v>
      </c>
      <c r="BJ87" s="85">
        <v>15.266970682461475</v>
      </c>
      <c r="BK87" s="85">
        <f t="shared" si="607"/>
        <v>0.76780487804878039</v>
      </c>
      <c r="BL87" s="43">
        <f t="shared" si="608"/>
        <v>-0.30357922750186972</v>
      </c>
      <c r="BM87" s="9">
        <v>0.39</v>
      </c>
      <c r="BN87" s="101"/>
      <c r="BO87" s="94"/>
      <c r="BP87" s="94"/>
      <c r="BQ87" s="97"/>
      <c r="BR87" s="97"/>
      <c r="BS87" s="94"/>
      <c r="BT87" s="94"/>
      <c r="BU87" s="98"/>
      <c r="BW87" s="45"/>
      <c r="BX87" s="98"/>
      <c r="BZ87" s="94"/>
      <c r="CA87" s="94"/>
      <c r="CB87" s="94"/>
      <c r="CC87" s="94"/>
      <c r="CD87" s="94"/>
      <c r="CE87" s="94"/>
      <c r="CG87" s="98"/>
      <c r="CH87" s="94"/>
      <c r="CI87" s="94"/>
      <c r="CJ87" s="94"/>
      <c r="CL87" s="97"/>
      <c r="CM87" s="97"/>
      <c r="CN87" s="100"/>
      <c r="CO87" s="99"/>
      <c r="CP87" s="97"/>
      <c r="CQ87" s="100"/>
      <c r="CR87" s="99"/>
      <c r="CS87" s="97"/>
      <c r="CT87" s="100"/>
    </row>
    <row r="88" spans="3:98" x14ac:dyDescent="0.3">
      <c r="C88" s="57"/>
      <c r="D88" s="58"/>
      <c r="E88" s="59"/>
      <c r="F88" s="59"/>
      <c r="G88" s="59"/>
      <c r="H88" s="61"/>
      <c r="I88" s="61"/>
      <c r="J88" s="61"/>
      <c r="K88" s="61"/>
      <c r="L88" s="61"/>
      <c r="M88" s="61"/>
      <c r="N88" s="61"/>
      <c r="O88" s="62"/>
      <c r="P88" s="63"/>
      <c r="Q88" s="90"/>
      <c r="R88" s="91"/>
      <c r="S88" s="91"/>
      <c r="T88" s="104"/>
      <c r="U88" s="104"/>
      <c r="V88" s="91"/>
      <c r="W88" s="91"/>
      <c r="X88" s="105"/>
      <c r="Z88" s="45"/>
      <c r="AA88" s="98"/>
      <c r="AC88" s="12" t="s">
        <v>34</v>
      </c>
      <c r="AD88" s="46"/>
      <c r="AE88" s="10"/>
      <c r="AF88" s="64">
        <v>52.428000000000004</v>
      </c>
      <c r="AG88" s="13">
        <v>19.897775210703955</v>
      </c>
      <c r="AH88" s="68">
        <v>99086.89043715845</v>
      </c>
      <c r="AI88" s="49">
        <v>19.837499999999977</v>
      </c>
      <c r="AJ88" s="69">
        <v>1.7901045744892694</v>
      </c>
      <c r="AK88" s="70">
        <v>19.893484583735738</v>
      </c>
      <c r="AL88" s="50">
        <f t="shared" si="373"/>
        <v>-2.1563350288070875E-2</v>
      </c>
      <c r="AM88" s="6">
        <v>0.1</v>
      </c>
      <c r="AN88" s="101">
        <f>AVERAGE(AL88:AL90)</f>
        <v>-3.6330710074176466E-2</v>
      </c>
      <c r="AO88" s="94">
        <f>STDEV(AL88:AL90)</f>
        <v>0.11306210452335543</v>
      </c>
      <c r="AP88" s="94">
        <f>COUNT(AM88:AM90)</f>
        <v>3</v>
      </c>
      <c r="AQ88" s="97">
        <f t="shared" ref="AQ88" si="630">TINV(0.05,AP88-1)</f>
        <v>4.3026527297494637</v>
      </c>
      <c r="AR88" s="97">
        <f t="shared" ref="AR88" si="631">AO88*AQ88/SQRT(AP88)</f>
        <v>0.28086183761632494</v>
      </c>
      <c r="AS88" s="94">
        <f>AVERAGE(AM88:AM90)</f>
        <v>0.10000000000000002</v>
      </c>
      <c r="AT88" s="94">
        <f t="shared" ref="AT88" si="632">SQRT(AR88^2+AS88^2)</f>
        <v>0.29813314446605715</v>
      </c>
      <c r="AU88" s="98">
        <f>AVERAGE(AG88:AG90)</f>
        <v>19.905323579731444</v>
      </c>
      <c r="AV88" s="48"/>
      <c r="AW88" s="45"/>
      <c r="AX88" s="98">
        <f t="shared" ref="AX88" si="633">AVERAGE(AG88:AG90)</f>
        <v>19.905323579731444</v>
      </c>
      <c r="AZ88" s="83" t="s">
        <v>34</v>
      </c>
      <c r="BA88" s="84"/>
      <c r="BB88" s="56"/>
      <c r="BC88" s="84"/>
      <c r="BD88" s="84"/>
      <c r="BE88" s="60"/>
      <c r="BF88" s="84"/>
      <c r="BG88" s="84"/>
      <c r="BH88" s="84"/>
      <c r="BI88" s="84"/>
      <c r="BJ88" s="84"/>
      <c r="BK88" s="84"/>
      <c r="BL88" s="62"/>
      <c r="BM88" s="84"/>
      <c r="BN88" s="101"/>
      <c r="BO88" s="94"/>
      <c r="BP88" s="94"/>
      <c r="BQ88" s="97"/>
      <c r="BR88" s="97"/>
      <c r="BS88" s="94"/>
      <c r="BT88" s="94"/>
      <c r="BU88" s="98"/>
      <c r="BW88" s="45"/>
      <c r="BX88" s="98"/>
      <c r="BZ88" s="94"/>
      <c r="CA88" s="94"/>
      <c r="CB88" s="94"/>
      <c r="CC88" s="94"/>
      <c r="CD88" s="94"/>
      <c r="CE88" s="94"/>
      <c r="CG88" s="98"/>
      <c r="CH88" s="94"/>
      <c r="CI88" s="94"/>
      <c r="CJ88" s="94"/>
      <c r="CL88" s="97"/>
      <c r="CM88" s="97"/>
      <c r="CN88" s="100"/>
      <c r="CO88" s="99"/>
      <c r="CP88" s="97"/>
      <c r="CQ88" s="100"/>
      <c r="CR88" s="99"/>
      <c r="CS88" s="97"/>
      <c r="CT88" s="100"/>
    </row>
    <row r="89" spans="3:98" x14ac:dyDescent="0.3">
      <c r="C89" s="57"/>
      <c r="D89" s="58"/>
      <c r="E89" s="59"/>
      <c r="F89" s="59"/>
      <c r="G89" s="59"/>
      <c r="H89" s="61"/>
      <c r="I89" s="61"/>
      <c r="J89" s="61"/>
      <c r="K89" s="61"/>
      <c r="L89" s="61"/>
      <c r="M89" s="61"/>
      <c r="N89" s="61"/>
      <c r="O89" s="62"/>
      <c r="P89" s="63"/>
      <c r="Q89" s="90"/>
      <c r="R89" s="91"/>
      <c r="S89" s="91"/>
      <c r="T89" s="104"/>
      <c r="U89" s="104"/>
      <c r="V89" s="91"/>
      <c r="W89" s="91"/>
      <c r="X89" s="105"/>
      <c r="Z89" s="45"/>
      <c r="AA89" s="98"/>
      <c r="AC89" s="12" t="s">
        <v>34</v>
      </c>
      <c r="AD89" s="46"/>
      <c r="AE89" s="10"/>
      <c r="AF89" s="64">
        <v>61.864800000000002</v>
      </c>
      <c r="AG89" s="13">
        <v>19.906032429116284</v>
      </c>
      <c r="AH89" s="68">
        <v>98932.930303030342</v>
      </c>
      <c r="AI89" s="49">
        <v>20.097500000000025</v>
      </c>
      <c r="AJ89" s="69">
        <v>1.7857384475167519</v>
      </c>
      <c r="AK89" s="70">
        <v>19.874968893615694</v>
      </c>
      <c r="AL89" s="50">
        <f t="shared" si="373"/>
        <v>-0.15605086353196659</v>
      </c>
      <c r="AM89" s="6">
        <v>0.1</v>
      </c>
      <c r="AN89" s="101"/>
      <c r="AO89" s="94"/>
      <c r="AP89" s="94"/>
      <c r="AQ89" s="97"/>
      <c r="AR89" s="97"/>
      <c r="AS89" s="94"/>
      <c r="AT89" s="94"/>
      <c r="AU89" s="98"/>
      <c r="AV89" s="48"/>
      <c r="AW89" s="45"/>
      <c r="AX89" s="98"/>
      <c r="AZ89" s="83" t="s">
        <v>34</v>
      </c>
      <c r="BA89" s="84"/>
      <c r="BB89" s="56"/>
      <c r="BC89" s="84"/>
      <c r="BD89" s="84"/>
      <c r="BE89" s="60"/>
      <c r="BF89" s="84"/>
      <c r="BG89" s="84"/>
      <c r="BH89" s="84"/>
      <c r="BI89" s="84"/>
      <c r="BJ89" s="84"/>
      <c r="BK89" s="84"/>
      <c r="BL89" s="62"/>
      <c r="BM89" s="84"/>
      <c r="BN89" s="101"/>
      <c r="BO89" s="94"/>
      <c r="BP89" s="94"/>
      <c r="BQ89" s="97"/>
      <c r="BR89" s="97"/>
      <c r="BS89" s="94"/>
      <c r="BT89" s="94"/>
      <c r="BU89" s="98"/>
      <c r="BW89" s="45"/>
      <c r="BX89" s="98"/>
      <c r="BZ89" s="94"/>
      <c r="CA89" s="94"/>
      <c r="CB89" s="94"/>
      <c r="CC89" s="94"/>
      <c r="CD89" s="94"/>
      <c r="CE89" s="94"/>
      <c r="CG89" s="98"/>
      <c r="CH89" s="94"/>
      <c r="CI89" s="94"/>
      <c r="CJ89" s="94"/>
      <c r="CL89" s="97"/>
      <c r="CM89" s="97"/>
      <c r="CN89" s="100"/>
      <c r="CO89" s="99"/>
      <c r="CP89" s="97"/>
      <c r="CQ89" s="100"/>
      <c r="CR89" s="99"/>
      <c r="CS89" s="97"/>
      <c r="CT89" s="100"/>
    </row>
    <row r="90" spans="3:98" x14ac:dyDescent="0.3">
      <c r="C90" s="57"/>
      <c r="D90" s="58"/>
      <c r="E90" s="59"/>
      <c r="F90" s="59"/>
      <c r="G90" s="59"/>
      <c r="H90" s="61"/>
      <c r="I90" s="61"/>
      <c r="J90" s="61"/>
      <c r="K90" s="61"/>
      <c r="L90" s="61"/>
      <c r="M90" s="61"/>
      <c r="N90" s="61"/>
      <c r="O90" s="62"/>
      <c r="P90" s="63"/>
      <c r="Q90" s="90"/>
      <c r="R90" s="91"/>
      <c r="S90" s="91"/>
      <c r="T90" s="104"/>
      <c r="U90" s="104"/>
      <c r="V90" s="91"/>
      <c r="W90" s="91"/>
      <c r="X90" s="105"/>
      <c r="Z90" s="45"/>
      <c r="AA90" s="98"/>
      <c r="AC90" s="12" t="s">
        <v>34</v>
      </c>
      <c r="AD90" s="46"/>
      <c r="AE90" s="10"/>
      <c r="AF90" s="64">
        <v>61.864800000000002</v>
      </c>
      <c r="AG90" s="13">
        <v>19.912163099374094</v>
      </c>
      <c r="AH90" s="68">
        <v>99075.104794520492</v>
      </c>
      <c r="AI90" s="49">
        <v>19.644499999999994</v>
      </c>
      <c r="AJ90" s="69">
        <v>1.7910714895988336</v>
      </c>
      <c r="AK90" s="70">
        <v>19.925827240582219</v>
      </c>
      <c r="AL90" s="50">
        <f t="shared" si="373"/>
        <v>6.8622083597508085E-2</v>
      </c>
      <c r="AM90" s="6">
        <v>0.1</v>
      </c>
      <c r="AN90" s="101"/>
      <c r="AO90" s="94"/>
      <c r="AP90" s="94"/>
      <c r="AQ90" s="97"/>
      <c r="AR90" s="97"/>
      <c r="AS90" s="94"/>
      <c r="AT90" s="94"/>
      <c r="AU90" s="98"/>
      <c r="AV90" s="48"/>
      <c r="AW90" s="45"/>
      <c r="AX90" s="98"/>
      <c r="AZ90" s="83" t="s">
        <v>34</v>
      </c>
      <c r="BA90" s="84"/>
      <c r="BB90" s="56"/>
      <c r="BC90" s="84"/>
      <c r="BD90" s="84"/>
      <c r="BE90" s="60"/>
      <c r="BF90" s="84"/>
      <c r="BG90" s="84"/>
      <c r="BH90" s="84"/>
      <c r="BI90" s="84"/>
      <c r="BJ90" s="84"/>
      <c r="BK90" s="84"/>
      <c r="BL90" s="62"/>
      <c r="BM90" s="84"/>
      <c r="BN90" s="101"/>
      <c r="BO90" s="94"/>
      <c r="BP90" s="94"/>
      <c r="BQ90" s="97"/>
      <c r="BR90" s="97"/>
      <c r="BS90" s="94"/>
      <c r="BT90" s="94"/>
      <c r="BU90" s="98"/>
      <c r="BW90" s="45"/>
      <c r="BX90" s="98"/>
      <c r="BZ90" s="94"/>
      <c r="CA90" s="94"/>
      <c r="CB90" s="94"/>
      <c r="CC90" s="94"/>
      <c r="CD90" s="94"/>
      <c r="CE90" s="94"/>
      <c r="CG90" s="98"/>
      <c r="CH90" s="94"/>
      <c r="CI90" s="94"/>
      <c r="CJ90" s="94"/>
      <c r="CL90" s="97"/>
      <c r="CM90" s="97"/>
      <c r="CN90" s="100"/>
      <c r="CO90" s="99"/>
      <c r="CP90" s="97"/>
      <c r="CQ90" s="100"/>
      <c r="CR90" s="99"/>
      <c r="CS90" s="97"/>
      <c r="CT90" s="100"/>
    </row>
    <row r="91" spans="3:98" x14ac:dyDescent="0.3">
      <c r="C91" s="57"/>
      <c r="D91" s="58"/>
      <c r="E91" s="59"/>
      <c r="F91" s="59"/>
      <c r="G91" s="59"/>
      <c r="H91" s="61"/>
      <c r="I91" s="61"/>
      <c r="J91" s="61"/>
      <c r="K91" s="61"/>
      <c r="L91" s="61"/>
      <c r="M91" s="61"/>
      <c r="N91" s="61"/>
      <c r="O91" s="62"/>
      <c r="P91" s="63"/>
      <c r="Q91" s="90"/>
      <c r="R91" s="91"/>
      <c r="S91" s="91"/>
      <c r="T91" s="104"/>
      <c r="U91" s="104"/>
      <c r="V91" s="91"/>
      <c r="W91" s="91"/>
      <c r="X91" s="105"/>
      <c r="Z91" s="45"/>
      <c r="AA91" s="98"/>
      <c r="AC91" s="12" t="s">
        <v>34</v>
      </c>
      <c r="AD91" s="46"/>
      <c r="AE91" s="10"/>
      <c r="AF91" s="64">
        <v>61.864800000000002</v>
      </c>
      <c r="AG91" s="13">
        <v>25.050366647019754</v>
      </c>
      <c r="AH91" s="68">
        <v>99224.234022988501</v>
      </c>
      <c r="AI91" s="49">
        <v>19.745999999999981</v>
      </c>
      <c r="AJ91" s="69">
        <v>1.793145824300056</v>
      </c>
      <c r="AK91" s="70">
        <v>25.067251293221315</v>
      </c>
      <c r="AL91" s="50">
        <f t="shared" si="373"/>
        <v>6.7402790703542839E-2</v>
      </c>
      <c r="AM91" s="6">
        <v>0.1</v>
      </c>
      <c r="AN91" s="101">
        <f>AVERAGE(AL91:AL93)</f>
        <v>2.7323500276653114E-2</v>
      </c>
      <c r="AO91" s="94">
        <f>STDEV(AL91:AL93)</f>
        <v>9.0636943265585274E-2</v>
      </c>
      <c r="AP91" s="94">
        <f>COUNT(AM91:AM93)</f>
        <v>3</v>
      </c>
      <c r="AQ91" s="97">
        <f t="shared" ref="AQ91" si="634">TINV(0.05,AP91-1)</f>
        <v>4.3026527297494637</v>
      </c>
      <c r="AR91" s="97">
        <f t="shared" ref="AR91" si="635">AO91*AQ91/SQRT(AP91)</f>
        <v>0.22515464884381559</v>
      </c>
      <c r="AS91" s="94">
        <f>AVERAGE(AM91:AM93)</f>
        <v>0.10000000000000002</v>
      </c>
      <c r="AT91" s="94">
        <f t="shared" ref="AT91" si="636">SQRT(AR91^2+AS91^2)</f>
        <v>0.24636277295074821</v>
      </c>
      <c r="AU91" s="98">
        <f>AVERAGE(AG91:AG93)</f>
        <v>25.059225399331041</v>
      </c>
      <c r="AV91" s="48"/>
      <c r="AW91" s="45"/>
      <c r="AX91" s="98">
        <f t="shared" ref="AX91" si="637">AVERAGE(AG91:AG93)</f>
        <v>25.059225399331041</v>
      </c>
      <c r="AZ91" s="83" t="s">
        <v>34</v>
      </c>
      <c r="BA91" s="84"/>
      <c r="BB91" s="56"/>
      <c r="BC91" s="84"/>
      <c r="BD91" s="84"/>
      <c r="BE91" s="60"/>
      <c r="BF91" s="84"/>
      <c r="BG91" s="84"/>
      <c r="BH91" s="84"/>
      <c r="BI91" s="84"/>
      <c r="BJ91" s="84"/>
      <c r="BK91" s="84"/>
      <c r="BL91" s="62"/>
      <c r="BM91" s="84"/>
      <c r="BN91" s="101"/>
      <c r="BO91" s="94"/>
      <c r="BP91" s="94"/>
      <c r="BQ91" s="97"/>
      <c r="BR91" s="97"/>
      <c r="BS91" s="94"/>
      <c r="BT91" s="94"/>
      <c r="BU91" s="98"/>
      <c r="BW91" s="45"/>
      <c r="BX91" s="98"/>
      <c r="BZ91" s="94"/>
      <c r="CA91" s="94"/>
      <c r="CB91" s="94"/>
      <c r="CC91" s="94"/>
      <c r="CD91" s="94"/>
      <c r="CE91" s="94"/>
      <c r="CG91" s="98"/>
      <c r="CH91" s="94"/>
      <c r="CI91" s="94"/>
      <c r="CJ91" s="94"/>
      <c r="CL91" s="97"/>
      <c r="CM91" s="97"/>
      <c r="CN91" s="100"/>
      <c r="CO91" s="99"/>
      <c r="CP91" s="97"/>
      <c r="CQ91" s="100"/>
      <c r="CR91" s="99"/>
      <c r="CS91" s="97"/>
      <c r="CT91" s="100"/>
    </row>
    <row r="92" spans="3:98" x14ac:dyDescent="0.3">
      <c r="C92" s="57"/>
      <c r="D92" s="58"/>
      <c r="E92" s="59"/>
      <c r="F92" s="59"/>
      <c r="G92" s="59"/>
      <c r="H92" s="61"/>
      <c r="I92" s="61"/>
      <c r="J92" s="61"/>
      <c r="K92" s="61"/>
      <c r="L92" s="61"/>
      <c r="M92" s="61"/>
      <c r="N92" s="61"/>
      <c r="O92" s="62"/>
      <c r="P92" s="63"/>
      <c r="Q92" s="90"/>
      <c r="R92" s="91"/>
      <c r="S92" s="91"/>
      <c r="T92" s="104"/>
      <c r="U92" s="104"/>
      <c r="V92" s="91"/>
      <c r="W92" s="91"/>
      <c r="X92" s="105"/>
      <c r="Z92" s="45"/>
      <c r="AA92" s="98"/>
      <c r="AC92" s="12" t="s">
        <v>34</v>
      </c>
      <c r="AD92" s="46"/>
      <c r="AE92" s="10"/>
      <c r="AF92" s="64">
        <v>61.864800000000002</v>
      </c>
      <c r="AG92" s="13">
        <v>25.059819792333037</v>
      </c>
      <c r="AH92" s="68">
        <v>99065.866666666712</v>
      </c>
      <c r="AI92" s="49">
        <v>19.970000000000027</v>
      </c>
      <c r="AJ92" s="69">
        <v>1.7889157436959335</v>
      </c>
      <c r="AK92" s="70">
        <v>25.082627072536777</v>
      </c>
      <c r="AL92" s="50">
        <f t="shared" si="373"/>
        <v>9.1011349613604853E-2</v>
      </c>
      <c r="AM92" s="6">
        <v>0.1</v>
      </c>
      <c r="AN92" s="101"/>
      <c r="AO92" s="94"/>
      <c r="AP92" s="94"/>
      <c r="AQ92" s="97"/>
      <c r="AR92" s="97"/>
      <c r="AS92" s="94"/>
      <c r="AT92" s="94"/>
      <c r="AU92" s="98"/>
      <c r="AV92" s="48"/>
      <c r="AW92" s="45"/>
      <c r="AX92" s="98"/>
      <c r="AZ92" s="83" t="s">
        <v>34</v>
      </c>
      <c r="BA92" s="84"/>
      <c r="BB92" s="56"/>
      <c r="BC92" s="84"/>
      <c r="BD92" s="84"/>
      <c r="BE92" s="60"/>
      <c r="BF92" s="84"/>
      <c r="BG92" s="84"/>
      <c r="BH92" s="84"/>
      <c r="BI92" s="84"/>
      <c r="BJ92" s="84"/>
      <c r="BK92" s="84"/>
      <c r="BL92" s="62"/>
      <c r="BM92" s="84"/>
      <c r="BN92" s="101"/>
      <c r="BO92" s="94"/>
      <c r="BP92" s="94"/>
      <c r="BQ92" s="97"/>
      <c r="BR92" s="97"/>
      <c r="BS92" s="94"/>
      <c r="BT92" s="94"/>
      <c r="BU92" s="98"/>
      <c r="BW92" s="45"/>
      <c r="BX92" s="98"/>
      <c r="BZ92" s="94"/>
      <c r="CA92" s="94"/>
      <c r="CB92" s="94"/>
      <c r="CC92" s="94"/>
      <c r="CD92" s="94"/>
      <c r="CE92" s="94"/>
      <c r="CG92" s="98"/>
      <c r="CH92" s="94"/>
      <c r="CI92" s="94"/>
      <c r="CJ92" s="94"/>
      <c r="CL92" s="97"/>
      <c r="CM92" s="97"/>
      <c r="CN92" s="100"/>
      <c r="CO92" s="99"/>
      <c r="CP92" s="97"/>
      <c r="CQ92" s="100"/>
      <c r="CR92" s="99"/>
      <c r="CS92" s="97"/>
      <c r="CT92" s="100"/>
    </row>
    <row r="93" spans="3:98" x14ac:dyDescent="0.3">
      <c r="C93" s="57"/>
      <c r="D93" s="58"/>
      <c r="E93" s="59"/>
      <c r="F93" s="59"/>
      <c r="G93" s="59"/>
      <c r="H93" s="61"/>
      <c r="I93" s="61"/>
      <c r="J93" s="61"/>
      <c r="K93" s="61"/>
      <c r="L93" s="61"/>
      <c r="M93" s="61"/>
      <c r="N93" s="61"/>
      <c r="O93" s="62"/>
      <c r="P93" s="63"/>
      <c r="Q93" s="90"/>
      <c r="R93" s="91"/>
      <c r="S93" s="91"/>
      <c r="T93" s="104"/>
      <c r="U93" s="104"/>
      <c r="V93" s="91"/>
      <c r="W93" s="91"/>
      <c r="X93" s="105"/>
      <c r="Z93" s="45"/>
      <c r="AA93" s="98"/>
      <c r="AC93" s="12" t="s">
        <v>34</v>
      </c>
      <c r="AD93" s="46"/>
      <c r="AE93" s="10"/>
      <c r="AF93" s="64">
        <v>61.864800000000002</v>
      </c>
      <c r="AG93" s="13">
        <v>25.067489758640331</v>
      </c>
      <c r="AH93" s="68">
        <v>99212.736574074093</v>
      </c>
      <c r="AI93" s="49">
        <v>19.73599999999999</v>
      </c>
      <c r="AJ93" s="69">
        <v>1.7929992626474422</v>
      </c>
      <c r="AK93" s="70">
        <v>25.048327257140748</v>
      </c>
      <c r="AL93" s="50">
        <f t="shared" si="373"/>
        <v>-7.6443639487188339E-2</v>
      </c>
      <c r="AM93" s="6">
        <v>0.1</v>
      </c>
      <c r="AN93" s="101"/>
      <c r="AO93" s="94"/>
      <c r="AP93" s="94"/>
      <c r="AQ93" s="97"/>
      <c r="AR93" s="97"/>
      <c r="AS93" s="94"/>
      <c r="AT93" s="94"/>
      <c r="AU93" s="98"/>
      <c r="AV93" s="48"/>
      <c r="AW93" s="45"/>
      <c r="AX93" s="98"/>
      <c r="AZ93" s="83" t="s">
        <v>34</v>
      </c>
      <c r="BA93" s="84"/>
      <c r="BB93" s="56"/>
      <c r="BC93" s="84"/>
      <c r="BD93" s="84"/>
      <c r="BE93" s="60"/>
      <c r="BF93" s="84"/>
      <c r="BG93" s="84"/>
      <c r="BH93" s="84"/>
      <c r="BI93" s="84"/>
      <c r="BJ93" s="84"/>
      <c r="BK93" s="84"/>
      <c r="BL93" s="62"/>
      <c r="BM93" s="84"/>
      <c r="BN93" s="101"/>
      <c r="BO93" s="94"/>
      <c r="BP93" s="94"/>
      <c r="BQ93" s="97"/>
      <c r="BR93" s="97"/>
      <c r="BS93" s="94"/>
      <c r="BT93" s="94"/>
      <c r="BU93" s="98"/>
      <c r="BW93" s="45"/>
      <c r="BX93" s="98"/>
      <c r="BZ93" s="94"/>
      <c r="CA93" s="94"/>
      <c r="CB93" s="94"/>
      <c r="CC93" s="94"/>
      <c r="CD93" s="94"/>
      <c r="CE93" s="94"/>
      <c r="CG93" s="98"/>
      <c r="CH93" s="94"/>
      <c r="CI93" s="94"/>
      <c r="CJ93" s="94"/>
      <c r="CL93" s="97"/>
      <c r="CM93" s="97"/>
      <c r="CN93" s="100"/>
      <c r="CO93" s="99"/>
      <c r="CP93" s="97"/>
      <c r="CQ93" s="100"/>
      <c r="CR93" s="99"/>
      <c r="CS93" s="97"/>
      <c r="CT93" s="100"/>
    </row>
    <row r="94" spans="3:98" x14ac:dyDescent="0.3">
      <c r="C94" s="57"/>
      <c r="D94" s="58"/>
      <c r="E94" s="59"/>
      <c r="F94" s="59"/>
      <c r="G94" s="59"/>
      <c r="H94" s="61"/>
      <c r="I94" s="61"/>
      <c r="J94" s="61"/>
      <c r="K94" s="61"/>
      <c r="L94" s="61"/>
      <c r="M94" s="61"/>
      <c r="N94" s="61"/>
      <c r="O94" s="62"/>
      <c r="P94" s="63"/>
      <c r="Q94" s="90"/>
      <c r="R94" s="91"/>
      <c r="S94" s="91"/>
      <c r="T94" s="104"/>
      <c r="U94" s="104"/>
      <c r="V94" s="91"/>
      <c r="W94" s="91"/>
      <c r="X94" s="105"/>
      <c r="Z94" s="45"/>
      <c r="AA94" s="98"/>
      <c r="AC94" s="12" t="s">
        <v>34</v>
      </c>
      <c r="AD94" s="46"/>
      <c r="AE94" s="10"/>
      <c r="AF94" s="64">
        <v>61.864800000000002</v>
      </c>
      <c r="AG94" s="13">
        <v>30.013939253515581</v>
      </c>
      <c r="AH94" s="68">
        <v>99222.760256410242</v>
      </c>
      <c r="AI94" s="49">
        <v>19.933999999999969</v>
      </c>
      <c r="AJ94" s="69">
        <v>1.79196898683938</v>
      </c>
      <c r="AK94" s="70">
        <v>30.005241957994318</v>
      </c>
      <c r="AL94" s="50">
        <f t="shared" si="373"/>
        <v>-2.8977520903869947E-2</v>
      </c>
      <c r="AM94" s="6">
        <v>0.1</v>
      </c>
      <c r="AN94" s="101">
        <f>AVERAGE(AL94:AL96)</f>
        <v>-5.3741337096744536E-2</v>
      </c>
      <c r="AO94" s="94">
        <f>STDEV(AL94:AL96)</f>
        <v>2.4355307285161127E-2</v>
      </c>
      <c r="AP94" s="94">
        <f>COUNT(AM94:AM96)</f>
        <v>3</v>
      </c>
      <c r="AQ94" s="97">
        <f t="shared" ref="AQ94" si="638">TINV(0.05,AP94-1)</f>
        <v>4.3026527297494637</v>
      </c>
      <c r="AR94" s="97">
        <f t="shared" ref="AR94" si="639">AO94*AQ94/SQRT(AP94)</f>
        <v>6.0501937308336334E-2</v>
      </c>
      <c r="AS94" s="94">
        <f>AVERAGE(AM94:AM96)</f>
        <v>0.10000000000000002</v>
      </c>
      <c r="AT94" s="94">
        <f t="shared" ref="AT94" si="640">SQRT(AR94^2+AS94^2)</f>
        <v>0.11687807501007989</v>
      </c>
      <c r="AU94" s="98">
        <f>AVERAGE(AG94:AG96)</f>
        <v>30.019009783255786</v>
      </c>
      <c r="AV94" s="48"/>
      <c r="AW94" s="45"/>
      <c r="AX94" s="98">
        <f t="shared" ref="AX94" si="641">AVERAGE(AG94:AG96)</f>
        <v>30.019009783255786</v>
      </c>
      <c r="AZ94" s="83" t="s">
        <v>34</v>
      </c>
      <c r="BA94" s="84"/>
      <c r="BB94" s="56"/>
      <c r="BC94" s="84"/>
      <c r="BD94" s="84"/>
      <c r="BE94" s="60"/>
      <c r="BF94" s="84"/>
      <c r="BG94" s="84"/>
      <c r="BH94" s="84"/>
      <c r="BI94" s="84"/>
      <c r="BJ94" s="84"/>
      <c r="BK94" s="84"/>
      <c r="BL94" s="62"/>
      <c r="BM94" s="84"/>
      <c r="BN94" s="101"/>
      <c r="BO94" s="94"/>
      <c r="BP94" s="94"/>
      <c r="BQ94" s="97"/>
      <c r="BR94" s="97"/>
      <c r="BS94" s="94"/>
      <c r="BT94" s="94"/>
      <c r="BU94" s="98"/>
      <c r="BW94" s="45"/>
      <c r="BX94" s="98"/>
      <c r="BZ94" s="94"/>
      <c r="CA94" s="94"/>
      <c r="CB94" s="94"/>
      <c r="CC94" s="94"/>
      <c r="CD94" s="94"/>
      <c r="CE94" s="94"/>
      <c r="CG94" s="98"/>
      <c r="CH94" s="94"/>
      <c r="CI94" s="94"/>
      <c r="CJ94" s="94"/>
      <c r="CL94" s="97"/>
      <c r="CM94" s="97"/>
      <c r="CN94" s="100"/>
      <c r="CO94" s="99"/>
      <c r="CP94" s="97"/>
      <c r="CQ94" s="100"/>
      <c r="CR94" s="99"/>
      <c r="CS94" s="97"/>
      <c r="CT94" s="100"/>
    </row>
    <row r="95" spans="3:98" x14ac:dyDescent="0.3">
      <c r="C95" s="57"/>
      <c r="D95" s="58"/>
      <c r="E95" s="59"/>
      <c r="F95" s="59"/>
      <c r="G95" s="59"/>
      <c r="H95" s="61"/>
      <c r="I95" s="61"/>
      <c r="J95" s="61"/>
      <c r="K95" s="61"/>
      <c r="L95" s="61"/>
      <c r="M95" s="61"/>
      <c r="N95" s="61"/>
      <c r="O95" s="62"/>
      <c r="P95" s="63"/>
      <c r="Q95" s="90"/>
      <c r="R95" s="91"/>
      <c r="S95" s="91"/>
      <c r="T95" s="104"/>
      <c r="U95" s="104"/>
      <c r="V95" s="91"/>
      <c r="W95" s="91"/>
      <c r="X95" s="105"/>
      <c r="Z95" s="45"/>
      <c r="AA95" s="98"/>
      <c r="AC95" s="12" t="s">
        <v>34</v>
      </c>
      <c r="AD95" s="46"/>
      <c r="AE95" s="10"/>
      <c r="AF95" s="64">
        <v>61.864800000000002</v>
      </c>
      <c r="AG95" s="13">
        <v>30.020444370270678</v>
      </c>
      <c r="AH95" s="68">
        <v>99382.565402298846</v>
      </c>
      <c r="AI95" s="49">
        <v>19.667500000000018</v>
      </c>
      <c r="AJ95" s="69">
        <v>1.7964886165812584</v>
      </c>
      <c r="AK95" s="70">
        <v>30.004059205739285</v>
      </c>
      <c r="AL95" s="50">
        <f t="shared" si="373"/>
        <v>-5.4580019966722661E-2</v>
      </c>
      <c r="AM95" s="6">
        <v>0.1</v>
      </c>
      <c r="AN95" s="101"/>
      <c r="AO95" s="94"/>
      <c r="AP95" s="94"/>
      <c r="AQ95" s="97"/>
      <c r="AR95" s="97"/>
      <c r="AS95" s="94"/>
      <c r="AT95" s="94"/>
      <c r="AU95" s="98"/>
      <c r="AV95" s="48"/>
      <c r="AW95" s="45"/>
      <c r="AX95" s="98"/>
      <c r="AZ95" s="83" t="s">
        <v>34</v>
      </c>
      <c r="BA95" s="84"/>
      <c r="BB95" s="56"/>
      <c r="BC95" s="84"/>
      <c r="BD95" s="84"/>
      <c r="BE95" s="60"/>
      <c r="BF95" s="84"/>
      <c r="BG95" s="84"/>
      <c r="BH95" s="84"/>
      <c r="BI95" s="84"/>
      <c r="BJ95" s="84"/>
      <c r="BK95" s="84"/>
      <c r="BL95" s="62"/>
      <c r="BM95" s="84"/>
      <c r="BN95" s="101"/>
      <c r="BO95" s="94"/>
      <c r="BP95" s="94"/>
      <c r="BQ95" s="97"/>
      <c r="BR95" s="97"/>
      <c r="BS95" s="94"/>
      <c r="BT95" s="94"/>
      <c r="BU95" s="98"/>
      <c r="BW95" s="45"/>
      <c r="BX95" s="98"/>
      <c r="BZ95" s="94"/>
      <c r="CA95" s="94"/>
      <c r="CB95" s="94"/>
      <c r="CC95" s="94"/>
      <c r="CD95" s="94"/>
      <c r="CE95" s="94"/>
      <c r="CG95" s="98"/>
      <c r="CH95" s="94"/>
      <c r="CI95" s="94"/>
      <c r="CJ95" s="94"/>
      <c r="CL95" s="97"/>
      <c r="CM95" s="97"/>
      <c r="CN95" s="100"/>
      <c r="CO95" s="99"/>
      <c r="CP95" s="97"/>
      <c r="CQ95" s="100"/>
      <c r="CR95" s="99"/>
      <c r="CS95" s="97"/>
      <c r="CT95" s="100"/>
    </row>
    <row r="96" spans="3:98" x14ac:dyDescent="0.3">
      <c r="C96" s="57"/>
      <c r="D96" s="58"/>
      <c r="E96" s="59"/>
      <c r="F96" s="59"/>
      <c r="G96" s="59"/>
      <c r="H96" s="61"/>
      <c r="I96" s="61"/>
      <c r="J96" s="61"/>
      <c r="K96" s="61"/>
      <c r="L96" s="61"/>
      <c r="M96" s="61"/>
      <c r="N96" s="61"/>
      <c r="O96" s="62"/>
      <c r="P96" s="63"/>
      <c r="Q96" s="90"/>
      <c r="R96" s="91"/>
      <c r="S96" s="91"/>
      <c r="T96" s="104"/>
      <c r="U96" s="104"/>
      <c r="V96" s="91"/>
      <c r="W96" s="91"/>
      <c r="X96" s="105"/>
      <c r="Z96" s="45"/>
      <c r="AA96" s="98"/>
      <c r="AC96" s="12" t="s">
        <v>34</v>
      </c>
      <c r="AD96" s="46"/>
      <c r="AE96" s="10"/>
      <c r="AF96" s="64">
        <v>61.864800000000002</v>
      </c>
      <c r="AG96" s="13">
        <v>30.022645725981103</v>
      </c>
      <c r="AH96" s="68">
        <v>99383.218275862062</v>
      </c>
      <c r="AI96" s="49">
        <v>19.709000000000003</v>
      </c>
      <c r="AJ96" s="69">
        <v>1.7962458426080679</v>
      </c>
      <c r="AK96" s="70">
        <v>29.999328196719141</v>
      </c>
      <c r="AL96" s="50">
        <f t="shared" si="373"/>
        <v>-7.7666470419641018E-2</v>
      </c>
      <c r="AM96" s="6">
        <v>0.1</v>
      </c>
      <c r="AN96" s="101"/>
      <c r="AO96" s="94"/>
      <c r="AP96" s="94"/>
      <c r="AQ96" s="97"/>
      <c r="AR96" s="97"/>
      <c r="AS96" s="94"/>
      <c r="AT96" s="94"/>
      <c r="AU96" s="98"/>
      <c r="AV96" s="48"/>
      <c r="AW96" s="55"/>
      <c r="AX96" s="98"/>
      <c r="AZ96" s="83" t="s">
        <v>34</v>
      </c>
      <c r="BA96" s="84"/>
      <c r="BB96" s="56"/>
      <c r="BC96" s="84"/>
      <c r="BD96" s="84"/>
      <c r="BE96" s="60"/>
      <c r="BF96" s="84"/>
      <c r="BG96" s="84"/>
      <c r="BH96" s="84"/>
      <c r="BI96" s="84"/>
      <c r="BJ96" s="84"/>
      <c r="BK96" s="84"/>
      <c r="BL96" s="62"/>
      <c r="BM96" s="84"/>
      <c r="BN96" s="101"/>
      <c r="BO96" s="94"/>
      <c r="BP96" s="94"/>
      <c r="BQ96" s="97"/>
      <c r="BR96" s="97"/>
      <c r="BS96" s="94"/>
      <c r="BT96" s="94"/>
      <c r="BU96" s="98"/>
      <c r="BW96" s="45"/>
      <c r="BX96" s="98"/>
      <c r="BZ96" s="94"/>
      <c r="CA96" s="94"/>
      <c r="CB96" s="94"/>
      <c r="CC96" s="94"/>
      <c r="CD96" s="94"/>
      <c r="CE96" s="94"/>
      <c r="CG96" s="98"/>
      <c r="CH96" s="94"/>
      <c r="CI96" s="94"/>
      <c r="CJ96" s="94"/>
      <c r="CL96" s="97"/>
      <c r="CM96" s="97"/>
      <c r="CN96" s="100"/>
      <c r="CO96" s="99"/>
      <c r="CP96" s="97"/>
      <c r="CQ96" s="100"/>
      <c r="CR96" s="99"/>
      <c r="CS96" s="97"/>
      <c r="CT96" s="100"/>
    </row>
  </sheetData>
  <mergeCells count="1126">
    <mergeCell ref="CT91:CT93"/>
    <mergeCell ref="BZ94:BZ96"/>
    <mergeCell ref="CA94:CA96"/>
    <mergeCell ref="CB94:CB96"/>
    <mergeCell ref="CC94:CC96"/>
    <mergeCell ref="CD94:CD96"/>
    <mergeCell ref="CE94:CE96"/>
    <mergeCell ref="CG94:CG96"/>
    <mergeCell ref="CH94:CH96"/>
    <mergeCell ref="CI94:CI96"/>
    <mergeCell ref="CJ94:CJ96"/>
    <mergeCell ref="CL94:CL96"/>
    <mergeCell ref="CM94:CM96"/>
    <mergeCell ref="CN94:CN96"/>
    <mergeCell ref="CO94:CO96"/>
    <mergeCell ref="CP94:CP96"/>
    <mergeCell ref="CQ94:CQ96"/>
    <mergeCell ref="CR94:CR96"/>
    <mergeCell ref="CS94:CS96"/>
    <mergeCell ref="CT94:CT96"/>
    <mergeCell ref="CJ91:CJ93"/>
    <mergeCell ref="CL91:CL93"/>
    <mergeCell ref="CM91:CM93"/>
    <mergeCell ref="CN91:CN93"/>
    <mergeCell ref="CO91:CO93"/>
    <mergeCell ref="CP91:CP93"/>
    <mergeCell ref="CQ91:CQ93"/>
    <mergeCell ref="CR91:CR93"/>
    <mergeCell ref="CS91:CS93"/>
    <mergeCell ref="BZ91:BZ93"/>
    <mergeCell ref="CA91:CA93"/>
    <mergeCell ref="CB91:CB93"/>
    <mergeCell ref="CC91:CC93"/>
    <mergeCell ref="CD91:CD93"/>
    <mergeCell ref="CE91:CE93"/>
    <mergeCell ref="CG91:CG93"/>
    <mergeCell ref="CH91:CH93"/>
    <mergeCell ref="CI91:CI93"/>
    <mergeCell ref="CT85:CT87"/>
    <mergeCell ref="BZ88:BZ90"/>
    <mergeCell ref="CA88:CA90"/>
    <mergeCell ref="CB88:CB90"/>
    <mergeCell ref="CC88:CC90"/>
    <mergeCell ref="CD88:CD90"/>
    <mergeCell ref="CE88:CE90"/>
    <mergeCell ref="CG88:CG90"/>
    <mergeCell ref="CH88:CH90"/>
    <mergeCell ref="CI88:CI90"/>
    <mergeCell ref="CJ88:CJ90"/>
    <mergeCell ref="CL88:CL90"/>
    <mergeCell ref="CM88:CM90"/>
    <mergeCell ref="CN88:CN90"/>
    <mergeCell ref="CO88:CO90"/>
    <mergeCell ref="CP88:CP90"/>
    <mergeCell ref="CQ88:CQ90"/>
    <mergeCell ref="CR88:CR90"/>
    <mergeCell ref="CS88:CS90"/>
    <mergeCell ref="CT88:CT90"/>
    <mergeCell ref="CJ85:CJ87"/>
    <mergeCell ref="CL85:CL87"/>
    <mergeCell ref="CM85:CM87"/>
    <mergeCell ref="CN85:CN87"/>
    <mergeCell ref="CO85:CO87"/>
    <mergeCell ref="CA85:CA87"/>
    <mergeCell ref="CB85:CB87"/>
    <mergeCell ref="CC85:CC87"/>
    <mergeCell ref="CD85:CD87"/>
    <mergeCell ref="CE85:CE87"/>
    <mergeCell ref="CG85:CG87"/>
    <mergeCell ref="CH85:CH87"/>
    <mergeCell ref="CI85:CI87"/>
    <mergeCell ref="CT79:CT81"/>
    <mergeCell ref="BZ82:BZ84"/>
    <mergeCell ref="CA82:CA84"/>
    <mergeCell ref="CB82:CB84"/>
    <mergeCell ref="CC82:CC84"/>
    <mergeCell ref="CD82:CD84"/>
    <mergeCell ref="CE82:CE84"/>
    <mergeCell ref="CG82:CG84"/>
    <mergeCell ref="CH82:CH84"/>
    <mergeCell ref="CI82:CI84"/>
    <mergeCell ref="CJ82:CJ84"/>
    <mergeCell ref="CL82:CL84"/>
    <mergeCell ref="CM82:CM84"/>
    <mergeCell ref="CN82:CN84"/>
    <mergeCell ref="CO82:CO84"/>
    <mergeCell ref="CP82:CP84"/>
    <mergeCell ref="CQ82:CQ84"/>
    <mergeCell ref="CR82:CR84"/>
    <mergeCell ref="CS82:CS84"/>
    <mergeCell ref="BN91:BN93"/>
    <mergeCell ref="BO91:BO93"/>
    <mergeCell ref="BP91:BP93"/>
    <mergeCell ref="BQ91:BQ93"/>
    <mergeCell ref="BR91:BR93"/>
    <mergeCell ref="BS91:BS93"/>
    <mergeCell ref="BN88:BN90"/>
    <mergeCell ref="BO88:BO90"/>
    <mergeCell ref="CT82:CT84"/>
    <mergeCell ref="CJ79:CJ81"/>
    <mergeCell ref="CL79:CL81"/>
    <mergeCell ref="CM79:CM81"/>
    <mergeCell ref="CN79:CN81"/>
    <mergeCell ref="CO79:CO81"/>
    <mergeCell ref="CP79:CP81"/>
    <mergeCell ref="CQ79:CQ81"/>
    <mergeCell ref="CR79:CR81"/>
    <mergeCell ref="CS79:CS81"/>
    <mergeCell ref="BZ79:BZ81"/>
    <mergeCell ref="CA79:CA81"/>
    <mergeCell ref="CB79:CB81"/>
    <mergeCell ref="CC79:CC81"/>
    <mergeCell ref="CD79:CD81"/>
    <mergeCell ref="CE79:CE81"/>
    <mergeCell ref="CG79:CG81"/>
    <mergeCell ref="CH79:CH81"/>
    <mergeCell ref="CI79:CI81"/>
    <mergeCell ref="CP85:CP87"/>
    <mergeCell ref="CQ85:CQ87"/>
    <mergeCell ref="CR85:CR87"/>
    <mergeCell ref="CS85:CS87"/>
    <mergeCell ref="BZ85:BZ87"/>
    <mergeCell ref="BN82:BN84"/>
    <mergeCell ref="BO82:BO84"/>
    <mergeCell ref="BP82:BP84"/>
    <mergeCell ref="BQ82:BQ84"/>
    <mergeCell ref="BR82:BR84"/>
    <mergeCell ref="BS82:BS84"/>
    <mergeCell ref="BN79:BN81"/>
    <mergeCell ref="BO79:BO81"/>
    <mergeCell ref="BP79:BP81"/>
    <mergeCell ref="BQ79:BQ81"/>
    <mergeCell ref="BR79:BR81"/>
    <mergeCell ref="BS79:BS81"/>
    <mergeCell ref="BT91:BT93"/>
    <mergeCell ref="BU91:BU93"/>
    <mergeCell ref="BX91:BX93"/>
    <mergeCell ref="BN94:BN96"/>
    <mergeCell ref="BO94:BO96"/>
    <mergeCell ref="BP94:BP96"/>
    <mergeCell ref="BQ94:BQ96"/>
    <mergeCell ref="BR94:BR96"/>
    <mergeCell ref="BS94:BS96"/>
    <mergeCell ref="BT94:BT96"/>
    <mergeCell ref="BU94:BU96"/>
    <mergeCell ref="BX94:BX96"/>
    <mergeCell ref="BT82:BT84"/>
    <mergeCell ref="BU82:BU84"/>
    <mergeCell ref="BX82:BX84"/>
    <mergeCell ref="BN85:BN87"/>
    <mergeCell ref="BO85:BO87"/>
    <mergeCell ref="BP85:BP87"/>
    <mergeCell ref="BQ85:BQ87"/>
    <mergeCell ref="BR85:BR87"/>
    <mergeCell ref="BT79:BT81"/>
    <mergeCell ref="BU79:BU81"/>
    <mergeCell ref="BX79:BX81"/>
    <mergeCell ref="BT73:BT75"/>
    <mergeCell ref="BU73:BU75"/>
    <mergeCell ref="BX73:BX75"/>
    <mergeCell ref="BT70:BT72"/>
    <mergeCell ref="BU70:BU72"/>
    <mergeCell ref="BX70:BX72"/>
    <mergeCell ref="BT67:BT69"/>
    <mergeCell ref="BU67:BU69"/>
    <mergeCell ref="BX67:BX69"/>
    <mergeCell ref="BT64:BT66"/>
    <mergeCell ref="BU64:BU66"/>
    <mergeCell ref="BX64:BX66"/>
    <mergeCell ref="BP88:BP90"/>
    <mergeCell ref="BQ88:BQ90"/>
    <mergeCell ref="BR88:BR90"/>
    <mergeCell ref="BS88:BS90"/>
    <mergeCell ref="BT88:BT90"/>
    <mergeCell ref="BU88:BU90"/>
    <mergeCell ref="BX88:BX90"/>
    <mergeCell ref="BS85:BS87"/>
    <mergeCell ref="BT85:BT87"/>
    <mergeCell ref="BU85:BU87"/>
    <mergeCell ref="BX85:BX87"/>
    <mergeCell ref="BR67:BR69"/>
    <mergeCell ref="BS67:BS69"/>
    <mergeCell ref="BX76:BX78"/>
    <mergeCell ref="BS76:BS78"/>
    <mergeCell ref="BT61:BT63"/>
    <mergeCell ref="BU61:BU63"/>
    <mergeCell ref="BX61:BX63"/>
    <mergeCell ref="CT46:CT48"/>
    <mergeCell ref="CJ46:CJ48"/>
    <mergeCell ref="CL46:CL48"/>
    <mergeCell ref="CM46:CM48"/>
    <mergeCell ref="CN46:CN48"/>
    <mergeCell ref="CO46:CO48"/>
    <mergeCell ref="CP46:CP48"/>
    <mergeCell ref="CQ46:CQ48"/>
    <mergeCell ref="CR46:CR48"/>
    <mergeCell ref="CS46:CS48"/>
    <mergeCell ref="BZ46:BZ48"/>
    <mergeCell ref="CA46:CA48"/>
    <mergeCell ref="CB46:CB48"/>
    <mergeCell ref="CC46:CC48"/>
    <mergeCell ref="CD46:CD48"/>
    <mergeCell ref="CE46:CE48"/>
    <mergeCell ref="CG46:CG48"/>
    <mergeCell ref="CH46:CH48"/>
    <mergeCell ref="CI46:CI48"/>
    <mergeCell ref="BZ58:CA58"/>
    <mergeCell ref="CB58:CC58"/>
    <mergeCell ref="CD58:CE58"/>
    <mergeCell ref="CT40:CT42"/>
    <mergeCell ref="BZ43:BZ45"/>
    <mergeCell ref="CA43:CA45"/>
    <mergeCell ref="CB43:CB45"/>
    <mergeCell ref="CC43:CC45"/>
    <mergeCell ref="CD43:CD45"/>
    <mergeCell ref="CE43:CE45"/>
    <mergeCell ref="CG43:CG45"/>
    <mergeCell ref="CH43:CH45"/>
    <mergeCell ref="CI43:CI45"/>
    <mergeCell ref="CJ43:CJ45"/>
    <mergeCell ref="CL43:CL45"/>
    <mergeCell ref="CM43:CM45"/>
    <mergeCell ref="CN43:CN45"/>
    <mergeCell ref="CO43:CO45"/>
    <mergeCell ref="CP43:CP45"/>
    <mergeCell ref="CQ43:CQ45"/>
    <mergeCell ref="CR43:CR45"/>
    <mergeCell ref="CS43:CS45"/>
    <mergeCell ref="CT43:CT45"/>
    <mergeCell ref="CJ40:CJ42"/>
    <mergeCell ref="CL40:CL42"/>
    <mergeCell ref="CM40:CM42"/>
    <mergeCell ref="CN40:CN42"/>
    <mergeCell ref="CO40:CO42"/>
    <mergeCell ref="CP40:CP42"/>
    <mergeCell ref="CQ40:CQ42"/>
    <mergeCell ref="CR40:CR42"/>
    <mergeCell ref="CS40:CS42"/>
    <mergeCell ref="BZ40:BZ42"/>
    <mergeCell ref="CA40:CA42"/>
    <mergeCell ref="CB40:CB42"/>
    <mergeCell ref="CC40:CC42"/>
    <mergeCell ref="CD40:CD42"/>
    <mergeCell ref="CE40:CE42"/>
    <mergeCell ref="CG40:CG42"/>
    <mergeCell ref="CH40:CH42"/>
    <mergeCell ref="CI40:CI42"/>
    <mergeCell ref="CL13:CL15"/>
    <mergeCell ref="CM13:CM15"/>
    <mergeCell ref="CN13:CN15"/>
    <mergeCell ref="CO13:CO15"/>
    <mergeCell ref="CP13:CP15"/>
    <mergeCell ref="CQ13:CQ15"/>
    <mergeCell ref="CR13:CR15"/>
    <mergeCell ref="CS13:CS15"/>
    <mergeCell ref="CT13:CT15"/>
    <mergeCell ref="CL16:CL18"/>
    <mergeCell ref="CM16:CM18"/>
    <mergeCell ref="CN16:CN18"/>
    <mergeCell ref="CO16:CO18"/>
    <mergeCell ref="CP16:CP18"/>
    <mergeCell ref="CQ16:CQ18"/>
    <mergeCell ref="CR16:CR18"/>
    <mergeCell ref="CS16:CS18"/>
    <mergeCell ref="CT16:CT18"/>
    <mergeCell ref="CL19:CL21"/>
    <mergeCell ref="CM19:CM21"/>
    <mergeCell ref="CN19:CN21"/>
    <mergeCell ref="CO19:CO21"/>
    <mergeCell ref="CP19:CP21"/>
    <mergeCell ref="CQ19:CQ21"/>
    <mergeCell ref="CR19:CR21"/>
    <mergeCell ref="CS19:CS21"/>
    <mergeCell ref="CT19:CT21"/>
    <mergeCell ref="CG19:CG21"/>
    <mergeCell ref="CH19:CH21"/>
    <mergeCell ref="CI19:CI21"/>
    <mergeCell ref="CJ19:CJ21"/>
    <mergeCell ref="CG16:CG18"/>
    <mergeCell ref="CH16:CH18"/>
    <mergeCell ref="CI16:CI18"/>
    <mergeCell ref="CJ16:CJ18"/>
    <mergeCell ref="CG13:CG15"/>
    <mergeCell ref="CH13:CH15"/>
    <mergeCell ref="CI13:CI15"/>
    <mergeCell ref="CJ13:CJ15"/>
    <mergeCell ref="AZ2:BX3"/>
    <mergeCell ref="BZ19:BZ21"/>
    <mergeCell ref="CA19:CA21"/>
    <mergeCell ref="CB19:CB21"/>
    <mergeCell ref="CC19:CC21"/>
    <mergeCell ref="CD19:CD21"/>
    <mergeCell ref="CE19:CE21"/>
    <mergeCell ref="BZ16:BZ18"/>
    <mergeCell ref="CA16:CA18"/>
    <mergeCell ref="CB16:CB18"/>
    <mergeCell ref="CC16:CC18"/>
    <mergeCell ref="CD16:CD18"/>
    <mergeCell ref="CE16:CE18"/>
    <mergeCell ref="BZ13:BZ15"/>
    <mergeCell ref="CA13:CA15"/>
    <mergeCell ref="CB13:CB15"/>
    <mergeCell ref="CC13:CC15"/>
    <mergeCell ref="CD13:CD15"/>
    <mergeCell ref="CE13:CE15"/>
    <mergeCell ref="BQ46:BQ48"/>
    <mergeCell ref="BR46:BR48"/>
    <mergeCell ref="BS46:BS48"/>
    <mergeCell ref="BT46:BT48"/>
    <mergeCell ref="BU46:BU48"/>
    <mergeCell ref="BX16:BX18"/>
    <mergeCell ref="BX19:BX21"/>
    <mergeCell ref="BX22:BX24"/>
    <mergeCell ref="BX25:BX27"/>
    <mergeCell ref="BX28:BX30"/>
    <mergeCell ref="BX31:BX33"/>
    <mergeCell ref="BX34:BX36"/>
    <mergeCell ref="BX37:BX39"/>
    <mergeCell ref="BX40:BX42"/>
    <mergeCell ref="BX43:BX45"/>
    <mergeCell ref="BX46:BX48"/>
    <mergeCell ref="BN40:BN42"/>
    <mergeCell ref="BO40:BO42"/>
    <mergeCell ref="BP40:BP42"/>
    <mergeCell ref="BQ40:BQ42"/>
    <mergeCell ref="BR40:BR42"/>
    <mergeCell ref="BS40:BS42"/>
    <mergeCell ref="BT40:BT42"/>
    <mergeCell ref="BU40:BU42"/>
    <mergeCell ref="BN43:BN45"/>
    <mergeCell ref="BO43:BO45"/>
    <mergeCell ref="BP43:BP45"/>
    <mergeCell ref="BQ43:BQ45"/>
    <mergeCell ref="BR43:BR45"/>
    <mergeCell ref="BT22:BT24"/>
    <mergeCell ref="BU22:BU24"/>
    <mergeCell ref="BT25:BT27"/>
    <mergeCell ref="BN16:BN18"/>
    <mergeCell ref="BO16:BO18"/>
    <mergeCell ref="BP16:BP18"/>
    <mergeCell ref="BQ16:BQ18"/>
    <mergeCell ref="BR16:BR18"/>
    <mergeCell ref="BS16:BS18"/>
    <mergeCell ref="BT16:BT18"/>
    <mergeCell ref="BU16:BU18"/>
    <mergeCell ref="BN19:BN21"/>
    <mergeCell ref="BO19:BO21"/>
    <mergeCell ref="BP19:BP21"/>
    <mergeCell ref="BQ19:BQ21"/>
    <mergeCell ref="BR19:BR21"/>
    <mergeCell ref="BS19:BS21"/>
    <mergeCell ref="BT19:BT21"/>
    <mergeCell ref="BU19:BU21"/>
    <mergeCell ref="BO22:BO24"/>
    <mergeCell ref="BP22:BP24"/>
    <mergeCell ref="BQ22:BQ24"/>
    <mergeCell ref="BR22:BR24"/>
    <mergeCell ref="BS22:BS24"/>
    <mergeCell ref="BN13:BN15"/>
    <mergeCell ref="BO13:BO15"/>
    <mergeCell ref="BP13:BP15"/>
    <mergeCell ref="BQ13:BQ15"/>
    <mergeCell ref="BR13:BR15"/>
    <mergeCell ref="BS13:BS15"/>
    <mergeCell ref="BT13:BT15"/>
    <mergeCell ref="BU13:BU15"/>
    <mergeCell ref="BX13:BX15"/>
    <mergeCell ref="Q94:Q96"/>
    <mergeCell ref="R94:R96"/>
    <mergeCell ref="S94:S96"/>
    <mergeCell ref="T94:T96"/>
    <mergeCell ref="U94:U96"/>
    <mergeCell ref="V94:V96"/>
    <mergeCell ref="W94:W96"/>
    <mergeCell ref="X94:X96"/>
    <mergeCell ref="Q88:Q90"/>
    <mergeCell ref="R88:R90"/>
    <mergeCell ref="S88:S90"/>
    <mergeCell ref="T88:T90"/>
    <mergeCell ref="U88:U90"/>
    <mergeCell ref="V88:V90"/>
    <mergeCell ref="W88:W90"/>
    <mergeCell ref="X88:X90"/>
    <mergeCell ref="Q91:Q93"/>
    <mergeCell ref="R91:R93"/>
    <mergeCell ref="S91:S93"/>
    <mergeCell ref="T91:T93"/>
    <mergeCell ref="U91:U93"/>
    <mergeCell ref="V91:V93"/>
    <mergeCell ref="W91:W93"/>
    <mergeCell ref="X91:X93"/>
    <mergeCell ref="AX79:AX81"/>
    <mergeCell ref="AX82:AX84"/>
    <mergeCell ref="AX85:AX87"/>
    <mergeCell ref="AX88:AX90"/>
    <mergeCell ref="AX91:AX93"/>
    <mergeCell ref="AX94:AX96"/>
    <mergeCell ref="AA79:AA81"/>
    <mergeCell ref="AA82:AA84"/>
    <mergeCell ref="AA85:AA87"/>
    <mergeCell ref="AA88:AA90"/>
    <mergeCell ref="AA91:AA93"/>
    <mergeCell ref="AA94:AA96"/>
    <mergeCell ref="AN91:AN93"/>
    <mergeCell ref="AO91:AO93"/>
    <mergeCell ref="AP91:AP93"/>
    <mergeCell ref="AQ91:AQ93"/>
    <mergeCell ref="AR91:AR93"/>
    <mergeCell ref="AS91:AS93"/>
    <mergeCell ref="AT91:AT93"/>
    <mergeCell ref="AU91:AU93"/>
    <mergeCell ref="AN94:AN96"/>
    <mergeCell ref="AO94:AO96"/>
    <mergeCell ref="AP94:AP96"/>
    <mergeCell ref="AQ94:AQ96"/>
    <mergeCell ref="AR94:AR96"/>
    <mergeCell ref="AS94:AS96"/>
    <mergeCell ref="AT94:AT96"/>
    <mergeCell ref="AU94:AU96"/>
    <mergeCell ref="AN85:AN87"/>
    <mergeCell ref="AO85:AO87"/>
    <mergeCell ref="AP85:AP87"/>
    <mergeCell ref="AQ85:AQ87"/>
    <mergeCell ref="AR85:AR87"/>
    <mergeCell ref="AS85:AS87"/>
    <mergeCell ref="AT85:AT87"/>
    <mergeCell ref="AU85:AU87"/>
    <mergeCell ref="AN88:AN90"/>
    <mergeCell ref="AO88:AO90"/>
    <mergeCell ref="AP88:AP90"/>
    <mergeCell ref="AQ88:AQ90"/>
    <mergeCell ref="AR88:AR90"/>
    <mergeCell ref="AS88:AS90"/>
    <mergeCell ref="AT88:AT90"/>
    <mergeCell ref="AU88:AU90"/>
    <mergeCell ref="AN79:AN81"/>
    <mergeCell ref="AO79:AO81"/>
    <mergeCell ref="AP79:AP81"/>
    <mergeCell ref="AQ79:AQ81"/>
    <mergeCell ref="AR79:AR81"/>
    <mergeCell ref="AS79:AS81"/>
    <mergeCell ref="AT79:AT81"/>
    <mergeCell ref="AU79:AU81"/>
    <mergeCell ref="AN82:AN84"/>
    <mergeCell ref="AO82:AO84"/>
    <mergeCell ref="AP82:AP84"/>
    <mergeCell ref="AQ82:AQ84"/>
    <mergeCell ref="AR82:AR84"/>
    <mergeCell ref="AS82:AS84"/>
    <mergeCell ref="AT82:AT84"/>
    <mergeCell ref="AU82:AU84"/>
    <mergeCell ref="AU70:AU72"/>
    <mergeCell ref="AU73:AU75"/>
    <mergeCell ref="AU76:AU78"/>
    <mergeCell ref="AX61:AX63"/>
    <mergeCell ref="AX64:AX66"/>
    <mergeCell ref="AX67:AX69"/>
    <mergeCell ref="AX70:AX72"/>
    <mergeCell ref="AX73:AX75"/>
    <mergeCell ref="AX76:AX78"/>
    <mergeCell ref="AC5:AH9"/>
    <mergeCell ref="AU13:AU15"/>
    <mergeCell ref="AX13:AX15"/>
    <mergeCell ref="AU16:AU18"/>
    <mergeCell ref="AU19:AU21"/>
    <mergeCell ref="AU22:AU24"/>
    <mergeCell ref="AU25:AU27"/>
    <mergeCell ref="AU28:AU30"/>
    <mergeCell ref="AU31:AU33"/>
    <mergeCell ref="AX16:AX18"/>
    <mergeCell ref="AX19:AX21"/>
    <mergeCell ref="AX22:AX24"/>
    <mergeCell ref="AX25:AX27"/>
    <mergeCell ref="AX28:AX30"/>
    <mergeCell ref="AX31:AX33"/>
    <mergeCell ref="AN46:AN48"/>
    <mergeCell ref="AO46:AO48"/>
    <mergeCell ref="AC52:AH56"/>
    <mergeCell ref="AN40:AN42"/>
    <mergeCell ref="AO40:AO42"/>
    <mergeCell ref="AP40:AP42"/>
    <mergeCell ref="AQ40:AQ42"/>
    <mergeCell ref="AR40:AR42"/>
    <mergeCell ref="AS40:AS42"/>
    <mergeCell ref="AT40:AT42"/>
    <mergeCell ref="AN43:AN45"/>
    <mergeCell ref="AO43:AO45"/>
    <mergeCell ref="AP43:AP45"/>
    <mergeCell ref="AQ43:AQ45"/>
    <mergeCell ref="AR43:AR45"/>
    <mergeCell ref="AS43:AS45"/>
    <mergeCell ref="AT43:AT45"/>
    <mergeCell ref="AX40:AX42"/>
    <mergeCell ref="AX43:AX45"/>
    <mergeCell ref="AX46:AX48"/>
    <mergeCell ref="AN13:AN15"/>
    <mergeCell ref="AO13:AO15"/>
    <mergeCell ref="AP13:AP15"/>
    <mergeCell ref="AQ13:AQ15"/>
    <mergeCell ref="AR13:AR15"/>
    <mergeCell ref="AS13:AS15"/>
    <mergeCell ref="AT13:AT15"/>
    <mergeCell ref="AN19:AN21"/>
    <mergeCell ref="AO19:AO21"/>
    <mergeCell ref="AP19:AP21"/>
    <mergeCell ref="AN34:AN36"/>
    <mergeCell ref="AQ19:AQ21"/>
    <mergeCell ref="AR19:AR21"/>
    <mergeCell ref="AS19:AS21"/>
    <mergeCell ref="AT19:AT21"/>
    <mergeCell ref="AN16:AN18"/>
    <mergeCell ref="AO16:AO18"/>
    <mergeCell ref="AP16:AP18"/>
    <mergeCell ref="AQ16:AQ18"/>
    <mergeCell ref="AS25:AS27"/>
    <mergeCell ref="Q19:Q21"/>
    <mergeCell ref="R19:R21"/>
    <mergeCell ref="S19:S21"/>
    <mergeCell ref="T19:T21"/>
    <mergeCell ref="U19:U21"/>
    <mergeCell ref="V19:V21"/>
    <mergeCell ref="W19:W21"/>
    <mergeCell ref="X19:X21"/>
    <mergeCell ref="AA13:AA15"/>
    <mergeCell ref="AA16:AA18"/>
    <mergeCell ref="AA19:AA21"/>
    <mergeCell ref="Q13:Q15"/>
    <mergeCell ref="R13:R15"/>
    <mergeCell ref="S13:S15"/>
    <mergeCell ref="T13:T15"/>
    <mergeCell ref="U13:U15"/>
    <mergeCell ref="V13:V15"/>
    <mergeCell ref="W13:W15"/>
    <mergeCell ref="X13:X15"/>
    <mergeCell ref="CO34:CO36"/>
    <mergeCell ref="CE28:CE30"/>
    <mergeCell ref="CL22:CL24"/>
    <mergeCell ref="CM22:CM24"/>
    <mergeCell ref="CN22:CN24"/>
    <mergeCell ref="CO22:CO24"/>
    <mergeCell ref="AR34:AR36"/>
    <mergeCell ref="AS34:AS36"/>
    <mergeCell ref="AT34:AT36"/>
    <mergeCell ref="AN37:AN39"/>
    <mergeCell ref="S37:S39"/>
    <mergeCell ref="T34:T36"/>
    <mergeCell ref="S34:S36"/>
    <mergeCell ref="V34:V36"/>
    <mergeCell ref="U34:U36"/>
    <mergeCell ref="R34:R36"/>
    <mergeCell ref="Q37:Q39"/>
    <mergeCell ref="Q34:Q36"/>
    <mergeCell ref="CE37:CE39"/>
    <mergeCell ref="CD37:CD39"/>
    <mergeCell ref="CC37:CC39"/>
    <mergeCell ref="CB37:CB39"/>
    <mergeCell ref="CE34:CE36"/>
    <mergeCell ref="CD34:CD36"/>
    <mergeCell ref="CC34:CC36"/>
    <mergeCell ref="CB34:CB36"/>
    <mergeCell ref="T37:T39"/>
    <mergeCell ref="AU34:AU36"/>
    <mergeCell ref="AU37:AU39"/>
    <mergeCell ref="AX34:AX36"/>
    <mergeCell ref="AX37:AX39"/>
    <mergeCell ref="BT37:BT39"/>
    <mergeCell ref="CJ37:CJ39"/>
    <mergeCell ref="CI37:CI39"/>
    <mergeCell ref="CH37:CH39"/>
    <mergeCell ref="CI34:CI36"/>
    <mergeCell ref="CH34:CH36"/>
    <mergeCell ref="CG34:CG36"/>
    <mergeCell ref="CJ34:CJ36"/>
    <mergeCell ref="Q16:Q18"/>
    <mergeCell ref="R16:R18"/>
    <mergeCell ref="S16:S18"/>
    <mergeCell ref="T16:T18"/>
    <mergeCell ref="U16:U18"/>
    <mergeCell ref="V16:V18"/>
    <mergeCell ref="W16:W18"/>
    <mergeCell ref="X16:X18"/>
    <mergeCell ref="CM34:CM36"/>
    <mergeCell ref="CN34:CN36"/>
    <mergeCell ref="BU37:BU39"/>
    <mergeCell ref="AQ37:AQ39"/>
    <mergeCell ref="AR16:AR18"/>
    <mergeCell ref="AS16:AS18"/>
    <mergeCell ref="AT16:AT18"/>
    <mergeCell ref="CG28:CG30"/>
    <mergeCell ref="CH28:CH30"/>
    <mergeCell ref="CI28:CI30"/>
    <mergeCell ref="CJ28:CJ30"/>
    <mergeCell ref="CL28:CL30"/>
    <mergeCell ref="CM28:CM30"/>
    <mergeCell ref="CN28:CN30"/>
    <mergeCell ref="BR34:BR36"/>
    <mergeCell ref="BS34:BS36"/>
    <mergeCell ref="AR37:AR39"/>
    <mergeCell ref="Q85:Q87"/>
    <mergeCell ref="R85:R87"/>
    <mergeCell ref="S85:S87"/>
    <mergeCell ref="T85:T87"/>
    <mergeCell ref="U85:U87"/>
    <mergeCell ref="V85:V87"/>
    <mergeCell ref="W85:W87"/>
    <mergeCell ref="X85:X87"/>
    <mergeCell ref="Q79:Q81"/>
    <mergeCell ref="R79:R81"/>
    <mergeCell ref="S79:S81"/>
    <mergeCell ref="T79:T81"/>
    <mergeCell ref="U79:U81"/>
    <mergeCell ref="V79:V81"/>
    <mergeCell ref="W79:W81"/>
    <mergeCell ref="X79:X81"/>
    <mergeCell ref="Q82:Q84"/>
    <mergeCell ref="R82:R84"/>
    <mergeCell ref="S82:S84"/>
    <mergeCell ref="T82:T84"/>
    <mergeCell ref="U82:U84"/>
    <mergeCell ref="V82:V84"/>
    <mergeCell ref="W82:W84"/>
    <mergeCell ref="X82:X84"/>
    <mergeCell ref="W46:W48"/>
    <mergeCell ref="X46:X48"/>
    <mergeCell ref="Q40:Q42"/>
    <mergeCell ref="R40:R42"/>
    <mergeCell ref="S40:S42"/>
    <mergeCell ref="T40:T42"/>
    <mergeCell ref="U40:U42"/>
    <mergeCell ref="V40:V42"/>
    <mergeCell ref="W40:W42"/>
    <mergeCell ref="X40:X42"/>
    <mergeCell ref="CR64:CR66"/>
    <mergeCell ref="AN64:AN66"/>
    <mergeCell ref="AQ64:AQ66"/>
    <mergeCell ref="AR64:AR66"/>
    <mergeCell ref="AS64:AS66"/>
    <mergeCell ref="AT64:AT66"/>
    <mergeCell ref="X43:X45"/>
    <mergeCell ref="W43:W45"/>
    <mergeCell ref="V43:V45"/>
    <mergeCell ref="U43:U45"/>
    <mergeCell ref="T43:T45"/>
    <mergeCell ref="S43:S45"/>
    <mergeCell ref="R43:R45"/>
    <mergeCell ref="Q43:Q45"/>
    <mergeCell ref="AP46:AP48"/>
    <mergeCell ref="AQ46:AQ48"/>
    <mergeCell ref="AR46:AR48"/>
    <mergeCell ref="AS46:AS48"/>
    <mergeCell ref="AT46:AT48"/>
    <mergeCell ref="AU40:AU42"/>
    <mergeCell ref="AU43:AU45"/>
    <mergeCell ref="AU46:AU48"/>
    <mergeCell ref="CS64:CS66"/>
    <mergeCell ref="CT64:CT66"/>
    <mergeCell ref="BZ67:BZ69"/>
    <mergeCell ref="CA67:CA69"/>
    <mergeCell ref="CB67:CB69"/>
    <mergeCell ref="CC67:CC69"/>
    <mergeCell ref="CD67:CD69"/>
    <mergeCell ref="CE67:CE69"/>
    <mergeCell ref="CG67:CG69"/>
    <mergeCell ref="CH67:CH69"/>
    <mergeCell ref="CI67:CI69"/>
    <mergeCell ref="CJ67:CJ69"/>
    <mergeCell ref="CL67:CL69"/>
    <mergeCell ref="CM67:CM69"/>
    <mergeCell ref="CN67:CN69"/>
    <mergeCell ref="CO67:CO69"/>
    <mergeCell ref="CP67:CP69"/>
    <mergeCell ref="CQ67:CQ69"/>
    <mergeCell ref="CR67:CR69"/>
    <mergeCell ref="CS67:CS69"/>
    <mergeCell ref="CT67:CT69"/>
    <mergeCell ref="CP34:CP36"/>
    <mergeCell ref="CQ34:CQ36"/>
    <mergeCell ref="CR34:CR36"/>
    <mergeCell ref="CS34:CS36"/>
    <mergeCell ref="CT34:CT36"/>
    <mergeCell ref="BZ61:BZ63"/>
    <mergeCell ref="CA61:CA63"/>
    <mergeCell ref="CB61:CB63"/>
    <mergeCell ref="CC61:CC63"/>
    <mergeCell ref="CD61:CD63"/>
    <mergeCell ref="CE61:CE63"/>
    <mergeCell ref="CG61:CG63"/>
    <mergeCell ref="CH61:CH63"/>
    <mergeCell ref="CI61:CI63"/>
    <mergeCell ref="CJ61:CJ63"/>
    <mergeCell ref="CL61:CL63"/>
    <mergeCell ref="CM61:CM63"/>
    <mergeCell ref="CN61:CN63"/>
    <mergeCell ref="CO61:CO63"/>
    <mergeCell ref="CP61:CP63"/>
    <mergeCell ref="CQ61:CQ63"/>
    <mergeCell ref="CR61:CR63"/>
    <mergeCell ref="CS61:CS63"/>
    <mergeCell ref="CT61:CT63"/>
    <mergeCell ref="CR58:CT58"/>
    <mergeCell ref="CL58:CN58"/>
    <mergeCell ref="CO58:CQ58"/>
    <mergeCell ref="CM37:CM39"/>
    <mergeCell ref="CL37:CL39"/>
    <mergeCell ref="CO37:CO39"/>
    <mergeCell ref="CL34:CL36"/>
    <mergeCell ref="CG37:CG39"/>
    <mergeCell ref="CE22:CE24"/>
    <mergeCell ref="CG22:CG24"/>
    <mergeCell ref="CH22:CH24"/>
    <mergeCell ref="CI22:CI24"/>
    <mergeCell ref="CJ22:CJ24"/>
    <mergeCell ref="CO28:CO30"/>
    <mergeCell ref="CD31:CD33"/>
    <mergeCell ref="CE31:CE33"/>
    <mergeCell ref="BZ22:BZ24"/>
    <mergeCell ref="CP28:CP30"/>
    <mergeCell ref="CQ28:CQ30"/>
    <mergeCell ref="CR28:CR30"/>
    <mergeCell ref="CS28:CS30"/>
    <mergeCell ref="CT28:CT30"/>
    <mergeCell ref="CG31:CG33"/>
    <mergeCell ref="CH31:CH33"/>
    <mergeCell ref="CI31:CI33"/>
    <mergeCell ref="CJ31:CJ33"/>
    <mergeCell ref="CL31:CL33"/>
    <mergeCell ref="CM31:CM33"/>
    <mergeCell ref="CN31:CN33"/>
    <mergeCell ref="CO31:CO33"/>
    <mergeCell ref="CP31:CP33"/>
    <mergeCell ref="CQ31:CQ33"/>
    <mergeCell ref="CR31:CR33"/>
    <mergeCell ref="CS31:CS33"/>
    <mergeCell ref="CT31:CT33"/>
    <mergeCell ref="BT34:BT36"/>
    <mergeCell ref="BU34:BU36"/>
    <mergeCell ref="BN25:BN27"/>
    <mergeCell ref="BO25:BO27"/>
    <mergeCell ref="BP25:BP27"/>
    <mergeCell ref="BQ25:BQ27"/>
    <mergeCell ref="BS28:BS30"/>
    <mergeCell ref="BN31:BN33"/>
    <mergeCell ref="BO31:BO33"/>
    <mergeCell ref="BS43:BS45"/>
    <mergeCell ref="CP22:CP24"/>
    <mergeCell ref="CQ22:CQ24"/>
    <mergeCell ref="CR22:CR24"/>
    <mergeCell ref="CS22:CS24"/>
    <mergeCell ref="CT22:CT24"/>
    <mergeCell ref="CQ25:CQ27"/>
    <mergeCell ref="CR25:CR27"/>
    <mergeCell ref="CL25:CL27"/>
    <mergeCell ref="CM25:CM27"/>
    <mergeCell ref="CN25:CN27"/>
    <mergeCell ref="CO25:CO27"/>
    <mergeCell ref="CP25:CP27"/>
    <mergeCell ref="BZ25:BZ27"/>
    <mergeCell ref="CA25:CA27"/>
    <mergeCell ref="CB25:CB27"/>
    <mergeCell ref="CC25:CC27"/>
    <mergeCell ref="CD25:CD27"/>
    <mergeCell ref="CE25:CE27"/>
    <mergeCell ref="CS25:CS27"/>
    <mergeCell ref="CT25:CT27"/>
    <mergeCell ref="CC22:CC24"/>
    <mergeCell ref="CD22:CD24"/>
    <mergeCell ref="BN70:BN72"/>
    <mergeCell ref="BO70:BO72"/>
    <mergeCell ref="BP70:BP72"/>
    <mergeCell ref="BQ70:BQ72"/>
    <mergeCell ref="BR70:BR72"/>
    <mergeCell ref="BS70:BS72"/>
    <mergeCell ref="BR61:BR63"/>
    <mergeCell ref="BS61:BS63"/>
    <mergeCell ref="BN64:BN66"/>
    <mergeCell ref="BO64:BO66"/>
    <mergeCell ref="BP64:BP66"/>
    <mergeCell ref="BQ64:BQ66"/>
    <mergeCell ref="BR64:BR66"/>
    <mergeCell ref="BS64:BS66"/>
    <mergeCell ref="BN37:BN39"/>
    <mergeCell ref="CA22:CA24"/>
    <mergeCell ref="CG25:CG27"/>
    <mergeCell ref="BZ28:BZ30"/>
    <mergeCell ref="CA28:CA30"/>
    <mergeCell ref="CB28:CB30"/>
    <mergeCell ref="CC28:CC30"/>
    <mergeCell ref="CB22:CB24"/>
    <mergeCell ref="BZ34:BZ36"/>
    <mergeCell ref="CA34:CA36"/>
    <mergeCell ref="BN34:BN36"/>
    <mergeCell ref="BP34:BP36"/>
    <mergeCell ref="BQ34:BQ36"/>
    <mergeCell ref="CD28:CD30"/>
    <mergeCell ref="BO34:BO36"/>
    <mergeCell ref="BO28:BO30"/>
    <mergeCell ref="BU25:BU27"/>
    <mergeCell ref="BT28:BT30"/>
    <mergeCell ref="Q64:Q66"/>
    <mergeCell ref="R64:R66"/>
    <mergeCell ref="U64:U66"/>
    <mergeCell ref="V64:V66"/>
    <mergeCell ref="W64:W66"/>
    <mergeCell ref="X64:X66"/>
    <mergeCell ref="Q67:Q69"/>
    <mergeCell ref="R67:R69"/>
    <mergeCell ref="U67:U69"/>
    <mergeCell ref="V67:V69"/>
    <mergeCell ref="W67:W69"/>
    <mergeCell ref="X67:X69"/>
    <mergeCell ref="BN67:BN69"/>
    <mergeCell ref="BO67:BO69"/>
    <mergeCell ref="BP67:BP69"/>
    <mergeCell ref="BQ67:BQ69"/>
    <mergeCell ref="AU61:AU63"/>
    <mergeCell ref="AU64:AU66"/>
    <mergeCell ref="AU67:AU69"/>
    <mergeCell ref="AQ67:AQ69"/>
    <mergeCell ref="AR67:AR69"/>
    <mergeCell ref="AS67:AS69"/>
    <mergeCell ref="AT67:AT69"/>
    <mergeCell ref="S73:S75"/>
    <mergeCell ref="T73:T75"/>
    <mergeCell ref="AN76:AN78"/>
    <mergeCell ref="AQ76:AQ78"/>
    <mergeCell ref="AR76:AR78"/>
    <mergeCell ref="AS76:AS78"/>
    <mergeCell ref="AT76:AT78"/>
    <mergeCell ref="BN61:BN63"/>
    <mergeCell ref="BO61:BO63"/>
    <mergeCell ref="BP61:BP63"/>
    <mergeCell ref="BQ61:BQ63"/>
    <mergeCell ref="BN76:BN78"/>
    <mergeCell ref="CH64:CH66"/>
    <mergeCell ref="CI64:CI66"/>
    <mergeCell ref="CJ64:CJ66"/>
    <mergeCell ref="CG76:CG78"/>
    <mergeCell ref="CH76:CH78"/>
    <mergeCell ref="CI76:CI78"/>
    <mergeCell ref="CJ76:CJ78"/>
    <mergeCell ref="CG70:CG72"/>
    <mergeCell ref="CH70:CH72"/>
    <mergeCell ref="CI70:CI72"/>
    <mergeCell ref="CJ70:CJ72"/>
    <mergeCell ref="CG73:CG75"/>
    <mergeCell ref="CH73:CH75"/>
    <mergeCell ref="CI73:CI75"/>
    <mergeCell ref="CJ73:CJ75"/>
    <mergeCell ref="BQ73:BQ75"/>
    <mergeCell ref="BZ76:BZ78"/>
    <mergeCell ref="CA76:CA78"/>
    <mergeCell ref="AA73:AA75"/>
    <mergeCell ref="BR76:BR78"/>
    <mergeCell ref="Q70:Q72"/>
    <mergeCell ref="R70:R72"/>
    <mergeCell ref="U70:U72"/>
    <mergeCell ref="V70:V72"/>
    <mergeCell ref="W70:W72"/>
    <mergeCell ref="BZ64:BZ66"/>
    <mergeCell ref="CA64:CA66"/>
    <mergeCell ref="CB64:CB66"/>
    <mergeCell ref="CC64:CC66"/>
    <mergeCell ref="CD64:CD66"/>
    <mergeCell ref="CE64:CE66"/>
    <mergeCell ref="CG64:CG66"/>
    <mergeCell ref="AQ61:AQ63"/>
    <mergeCell ref="AR61:AR63"/>
    <mergeCell ref="AS61:AS63"/>
    <mergeCell ref="AT61:AT63"/>
    <mergeCell ref="BT43:BT45"/>
    <mergeCell ref="BU43:BU45"/>
    <mergeCell ref="BN46:BN48"/>
    <mergeCell ref="BO46:BO48"/>
    <mergeCell ref="BP46:BP48"/>
    <mergeCell ref="Q46:Q48"/>
    <mergeCell ref="R46:R48"/>
    <mergeCell ref="S46:S48"/>
    <mergeCell ref="T46:T48"/>
    <mergeCell ref="U46:U48"/>
    <mergeCell ref="V46:V48"/>
    <mergeCell ref="Q61:Q63"/>
    <mergeCell ref="R61:R63"/>
    <mergeCell ref="U61:U63"/>
    <mergeCell ref="V61:V63"/>
    <mergeCell ref="W61:W63"/>
    <mergeCell ref="R37:R39"/>
    <mergeCell ref="U37:U39"/>
    <mergeCell ref="V37:V39"/>
    <mergeCell ref="W37:W39"/>
    <mergeCell ref="X37:X39"/>
    <mergeCell ref="BO37:BO39"/>
    <mergeCell ref="BP37:BP39"/>
    <mergeCell ref="BQ37:BQ39"/>
    <mergeCell ref="BR37:BR39"/>
    <mergeCell ref="BS37:BS39"/>
    <mergeCell ref="AR28:AR30"/>
    <mergeCell ref="AS28:AS30"/>
    <mergeCell ref="AT28:AT30"/>
    <mergeCell ref="AN31:AN33"/>
    <mergeCell ref="AQ31:AQ33"/>
    <mergeCell ref="AR31:AR33"/>
    <mergeCell ref="AS31:AS33"/>
    <mergeCell ref="AT31:AT33"/>
    <mergeCell ref="BU76:BU78"/>
    <mergeCell ref="BO76:BO78"/>
    <mergeCell ref="BP76:BP78"/>
    <mergeCell ref="BQ76:BQ78"/>
    <mergeCell ref="BS25:BS27"/>
    <mergeCell ref="CB76:CB78"/>
    <mergeCell ref="CC76:CC78"/>
    <mergeCell ref="CD76:CD78"/>
    <mergeCell ref="BP31:BP33"/>
    <mergeCell ref="BQ31:BQ33"/>
    <mergeCell ref="BR31:BR33"/>
    <mergeCell ref="BS31:BS33"/>
    <mergeCell ref="BN28:BN30"/>
    <mergeCell ref="X34:X36"/>
    <mergeCell ref="AA22:AA24"/>
    <mergeCell ref="AA25:AA27"/>
    <mergeCell ref="AA28:AA30"/>
    <mergeCell ref="AA31:AA33"/>
    <mergeCell ref="AR22:AR24"/>
    <mergeCell ref="AS22:AS24"/>
    <mergeCell ref="AT22:AT24"/>
    <mergeCell ref="AR25:AR27"/>
    <mergeCell ref="X61:X63"/>
    <mergeCell ref="BO73:BO75"/>
    <mergeCell ref="BP73:BP75"/>
    <mergeCell ref="AT70:AT72"/>
    <mergeCell ref="AN70:AN72"/>
    <mergeCell ref="AQ70:AQ72"/>
    <mergeCell ref="AR70:AR72"/>
    <mergeCell ref="AS70:AS72"/>
    <mergeCell ref="BN73:BN75"/>
    <mergeCell ref="AQ73:AQ75"/>
    <mergeCell ref="AR73:AR75"/>
    <mergeCell ref="AS73:AS75"/>
    <mergeCell ref="AT73:AT75"/>
    <mergeCell ref="AA76:AA78"/>
    <mergeCell ref="AN73:AN75"/>
    <mergeCell ref="S76:S78"/>
    <mergeCell ref="T76:T78"/>
    <mergeCell ref="AP67:AP69"/>
    <mergeCell ref="AT25:AT27"/>
    <mergeCell ref="AN22:AN24"/>
    <mergeCell ref="AQ22:AQ24"/>
    <mergeCell ref="AN28:AN30"/>
    <mergeCell ref="AQ28:AQ30"/>
    <mergeCell ref="AN25:AN27"/>
    <mergeCell ref="AQ25:AQ27"/>
    <mergeCell ref="CT76:CT78"/>
    <mergeCell ref="CL76:CL78"/>
    <mergeCell ref="CM76:CM78"/>
    <mergeCell ref="CN76:CN78"/>
    <mergeCell ref="CO76:CO78"/>
    <mergeCell ref="CP76:CP78"/>
    <mergeCell ref="CQ76:CQ78"/>
    <mergeCell ref="CR76:CR78"/>
    <mergeCell ref="CS76:CS78"/>
    <mergeCell ref="CL70:CL72"/>
    <mergeCell ref="CM70:CM72"/>
    <mergeCell ref="CN70:CN72"/>
    <mergeCell ref="CO70:CO72"/>
    <mergeCell ref="CP70:CP72"/>
    <mergeCell ref="CQ70:CQ72"/>
    <mergeCell ref="CR70:CR72"/>
    <mergeCell ref="BT76:BT78"/>
    <mergeCell ref="Q25:Q27"/>
    <mergeCell ref="Q28:Q30"/>
    <mergeCell ref="Q31:Q33"/>
    <mergeCell ref="R22:R24"/>
    <mergeCell ref="U22:U24"/>
    <mergeCell ref="V22:V24"/>
    <mergeCell ref="R25:R27"/>
    <mergeCell ref="U25:U27"/>
    <mergeCell ref="V25:V27"/>
    <mergeCell ref="R28:R30"/>
    <mergeCell ref="U28:U30"/>
    <mergeCell ref="V28:V30"/>
    <mergeCell ref="R31:R33"/>
    <mergeCell ref="U31:U33"/>
    <mergeCell ref="V31:V33"/>
    <mergeCell ref="BR25:BR27"/>
    <mergeCell ref="BP28:BP30"/>
    <mergeCell ref="BQ28:BQ30"/>
    <mergeCell ref="BR28:BR30"/>
    <mergeCell ref="S22:S24"/>
    <mergeCell ref="T22:T24"/>
    <mergeCell ref="BN22:BN24"/>
    <mergeCell ref="S25:S27"/>
    <mergeCell ref="W22:W24"/>
    <mergeCell ref="X22:X24"/>
    <mergeCell ref="W25:W27"/>
    <mergeCell ref="X25:X27"/>
    <mergeCell ref="W28:W30"/>
    <mergeCell ref="X28:X30"/>
    <mergeCell ref="W31:W33"/>
    <mergeCell ref="X31:X33"/>
    <mergeCell ref="CQ73:CQ75"/>
    <mergeCell ref="T70:T72"/>
    <mergeCell ref="AN61:AN63"/>
    <mergeCell ref="AN67:AN69"/>
    <mergeCell ref="AA40:AA42"/>
    <mergeCell ref="AA43:AA45"/>
    <mergeCell ref="AA46:AA48"/>
    <mergeCell ref="AO67:AO69"/>
    <mergeCell ref="CE76:CE78"/>
    <mergeCell ref="BZ70:BZ72"/>
    <mergeCell ref="CA70:CA72"/>
    <mergeCell ref="CB70:CB72"/>
    <mergeCell ref="CC70:CC72"/>
    <mergeCell ref="CD70:CD72"/>
    <mergeCell ref="CE70:CE72"/>
    <mergeCell ref="BZ73:BZ75"/>
    <mergeCell ref="CA73:CA75"/>
    <mergeCell ref="CB73:CB75"/>
    <mergeCell ref="CC73:CC75"/>
    <mergeCell ref="CD73:CD75"/>
    <mergeCell ref="CE73:CE75"/>
    <mergeCell ref="BS73:BS75"/>
    <mergeCell ref="U76:U78"/>
    <mergeCell ref="V76:V78"/>
    <mergeCell ref="W76:W78"/>
    <mergeCell ref="X70:X72"/>
    <mergeCell ref="AO76:AO78"/>
    <mergeCell ref="AP76:AP78"/>
    <mergeCell ref="AO70:AO72"/>
    <mergeCell ref="AP70:AP72"/>
    <mergeCell ref="AO73:AO75"/>
    <mergeCell ref="X76:X78"/>
    <mergeCell ref="CL64:CL66"/>
    <mergeCell ref="CM64:CM66"/>
    <mergeCell ref="CN64:CN66"/>
    <mergeCell ref="CO64:CO66"/>
    <mergeCell ref="BZ10:CA10"/>
    <mergeCell ref="CB10:CC10"/>
    <mergeCell ref="CD10:CE10"/>
    <mergeCell ref="CL10:CN10"/>
    <mergeCell ref="CO10:CQ10"/>
    <mergeCell ref="T25:T27"/>
    <mergeCell ref="S28:S30"/>
    <mergeCell ref="T28:T30"/>
    <mergeCell ref="S31:S33"/>
    <mergeCell ref="T31:T33"/>
    <mergeCell ref="S61:S63"/>
    <mergeCell ref="T61:T63"/>
    <mergeCell ref="S64:S66"/>
    <mergeCell ref="T64:T66"/>
    <mergeCell ref="AS37:AS39"/>
    <mergeCell ref="AT37:AT39"/>
    <mergeCell ref="W34:W36"/>
    <mergeCell ref="AQ34:AQ36"/>
    <mergeCell ref="BZ31:BZ33"/>
    <mergeCell ref="CA31:CA33"/>
    <mergeCell ref="CB31:CB33"/>
    <mergeCell ref="CC31:CC33"/>
    <mergeCell ref="CH25:CH27"/>
    <mergeCell ref="CI25:CI27"/>
    <mergeCell ref="CJ25:CJ27"/>
    <mergeCell ref="BU28:BU30"/>
    <mergeCell ref="BT31:BT33"/>
    <mergeCell ref="BU31:BU33"/>
    <mergeCell ref="CR10:CT10"/>
    <mergeCell ref="BR73:BR75"/>
    <mergeCell ref="U73:U75"/>
    <mergeCell ref="V73:V75"/>
    <mergeCell ref="W73:W75"/>
    <mergeCell ref="X73:X75"/>
    <mergeCell ref="CR73:CR75"/>
    <mergeCell ref="CS73:CS75"/>
    <mergeCell ref="CT73:CT75"/>
    <mergeCell ref="CP64:CP66"/>
    <mergeCell ref="CQ64:CQ66"/>
    <mergeCell ref="CR37:CR39"/>
    <mergeCell ref="CS37:CS39"/>
    <mergeCell ref="CT37:CT39"/>
    <mergeCell ref="CP37:CP39"/>
    <mergeCell ref="CQ37:CQ39"/>
    <mergeCell ref="CN37:CN39"/>
    <mergeCell ref="BZ37:BZ39"/>
    <mergeCell ref="CA37:CA39"/>
    <mergeCell ref="AA34:AA36"/>
    <mergeCell ref="AA37:AA39"/>
    <mergeCell ref="AA61:AA63"/>
    <mergeCell ref="AA64:AA66"/>
    <mergeCell ref="AA67:AA69"/>
    <mergeCell ref="AA70:AA72"/>
    <mergeCell ref="CS70:CS72"/>
    <mergeCell ref="CT70:CT72"/>
    <mergeCell ref="CL73:CL75"/>
    <mergeCell ref="CM73:CM75"/>
    <mergeCell ref="CN73:CN75"/>
    <mergeCell ref="CO73:CO75"/>
    <mergeCell ref="CP73:CP75"/>
    <mergeCell ref="Q76:Q78"/>
    <mergeCell ref="R76:R78"/>
    <mergeCell ref="AY61:AY63"/>
    <mergeCell ref="AY64:AY66"/>
    <mergeCell ref="AY67:AY69"/>
    <mergeCell ref="AY70:AY72"/>
    <mergeCell ref="AY73:AY75"/>
    <mergeCell ref="C2:X3"/>
    <mergeCell ref="AO22:AO24"/>
    <mergeCell ref="AP22:AP24"/>
    <mergeCell ref="AO25:AO27"/>
    <mergeCell ref="AP25:AP27"/>
    <mergeCell ref="AO28:AO30"/>
    <mergeCell ref="AP28:AP30"/>
    <mergeCell ref="AO31:AO33"/>
    <mergeCell ref="AP31:AP33"/>
    <mergeCell ref="AO34:AO36"/>
    <mergeCell ref="AP34:AP36"/>
    <mergeCell ref="AO37:AO39"/>
    <mergeCell ref="AP37:AP39"/>
    <mergeCell ref="AC2:AT3"/>
    <mergeCell ref="AO61:AO63"/>
    <mergeCell ref="AP61:AP63"/>
    <mergeCell ref="AO64:AO66"/>
    <mergeCell ref="AP64:AP66"/>
    <mergeCell ref="Q73:Q75"/>
    <mergeCell ref="R73:R75"/>
    <mergeCell ref="S67:S69"/>
    <mergeCell ref="T67:T69"/>
    <mergeCell ref="S70:S72"/>
    <mergeCell ref="AP73:AP75"/>
    <mergeCell ref="Q22:Q24"/>
  </mergeCells>
  <phoneticPr fontId="14" type="noConversion"/>
  <conditionalFormatting sqref="H13:H48">
    <cfRule type="colorScale" priority="2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61:H96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13:AG48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61:AG96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A28:BB30 BA31 BE27:BE31 BA27 BB25:BB27">
    <cfRule type="colorScale" priority="2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A76:BB78 BA79 BA75 BB67:BB75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B31:BB48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BB79:BB96">
    <cfRule type="colorScale" priority="3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BE13:BE48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61:BE63 BE88:BE96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64:BE8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78:BE8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08234-13CE-46BD-884E-19D121DC5C8B}">
  <dimension ref="A1:F35"/>
  <sheetViews>
    <sheetView workbookViewId="0">
      <pane ySplit="1" topLeftCell="A2" activePane="bottomLeft" state="frozen"/>
      <selection pane="bottomLeft" activeCell="F12" sqref="F12"/>
    </sheetView>
  </sheetViews>
  <sheetFormatPr defaultRowHeight="14.4" x14ac:dyDescent="0.3"/>
  <cols>
    <col min="2" max="2" width="10.33203125" bestFit="1" customWidth="1"/>
    <col min="3" max="3" width="21.109375" bestFit="1" customWidth="1"/>
    <col min="4" max="4" width="21.109375" customWidth="1"/>
  </cols>
  <sheetData>
    <row r="1" spans="1:6" x14ac:dyDescent="0.3">
      <c r="B1" t="s">
        <v>131</v>
      </c>
      <c r="C1" t="s">
        <v>132</v>
      </c>
      <c r="D1" t="s">
        <v>133</v>
      </c>
      <c r="E1" t="s">
        <v>129</v>
      </c>
      <c r="F1" t="s">
        <v>130</v>
      </c>
    </row>
    <row r="2" spans="1:6" x14ac:dyDescent="0.3">
      <c r="B2" s="42">
        <v>512.40026683822248</v>
      </c>
      <c r="C2" s="42">
        <v>100912</v>
      </c>
      <c r="D2" s="64">
        <f>B2+C2</f>
        <v>101424.40026683822</v>
      </c>
      <c r="E2" s="42">
        <v>20.33776703235803</v>
      </c>
      <c r="F2" s="88" cm="1">
        <f t="array" ref="F2">[1]!Density("nitrogen","TP","SI with C",E2,D2/10^6)</f>
        <v>1.1646276482431526</v>
      </c>
    </row>
    <row r="3" spans="1:6" x14ac:dyDescent="0.3">
      <c r="B3" s="42">
        <v>512.53544512888448</v>
      </c>
      <c r="C3" s="42">
        <v>100907</v>
      </c>
      <c r="D3" s="64">
        <f t="shared" ref="D3:D35" si="0">B3+C3</f>
        <v>101419.53544512889</v>
      </c>
      <c r="E3" s="42">
        <v>20.336131256770901</v>
      </c>
      <c r="F3" s="88" cm="1">
        <f t="array" ref="F3">[1]!Density("nitrogen","TP","SI with C",E3,D3/10^6)</f>
        <v>1.1645782819623938</v>
      </c>
    </row>
    <row r="4" spans="1:6" x14ac:dyDescent="0.3">
      <c r="B4" s="42">
        <v>512.34479992473405</v>
      </c>
      <c r="C4" s="42">
        <v>100907</v>
      </c>
      <c r="D4" s="64">
        <f t="shared" si="0"/>
        <v>101419.34479992473</v>
      </c>
      <c r="E4" s="42">
        <v>20.33546145347832</v>
      </c>
      <c r="F4" s="88" cm="1">
        <f t="array" ref="F4">[1]!Density("nitrogen","TP","SI with C",E4,D4/10^6)</f>
        <v>1.1645787573098658</v>
      </c>
    </row>
    <row r="5" spans="1:6" x14ac:dyDescent="0.3">
      <c r="B5" s="42">
        <v>568.51998396489182</v>
      </c>
      <c r="C5" s="42">
        <v>100935</v>
      </c>
      <c r="D5" s="64">
        <f t="shared" si="0"/>
        <v>101503.51998396488</v>
      </c>
      <c r="E5" s="42">
        <v>20.34293863823768</v>
      </c>
      <c r="F5" s="88" cm="1">
        <f t="array" ref="F5">[1]!Density("nitrogen","TP","SI with C",E5,D5/10^6)</f>
        <v>1.1655157804162168</v>
      </c>
    </row>
    <row r="6" spans="1:6" x14ac:dyDescent="0.3">
      <c r="B6" s="42">
        <v>568.43432534610599</v>
      </c>
      <c r="C6" s="42">
        <v>100930</v>
      </c>
      <c r="D6" s="64">
        <f t="shared" si="0"/>
        <v>101498.43432534611</v>
      </c>
      <c r="E6" s="42">
        <v>20.342122262390042</v>
      </c>
      <c r="F6" s="88" cm="1">
        <f t="array" ref="F6">[1]!Density("nitrogen","TP","SI with C",E6,D6/10^6)</f>
        <v>1.1654606209508676</v>
      </c>
    </row>
    <row r="7" spans="1:6" x14ac:dyDescent="0.3">
      <c r="B7" s="42">
        <v>568.47352141943065</v>
      </c>
      <c r="C7" s="42">
        <v>100933</v>
      </c>
      <c r="D7" s="64">
        <f t="shared" si="0"/>
        <v>101501.47352141944</v>
      </c>
      <c r="E7" s="42">
        <v>20.342209092554274</v>
      </c>
      <c r="F7" s="88" cm="1">
        <f t="array" ref="F7">[1]!Density("nitrogen","TP","SI with C",E7,D7/10^6)</f>
        <v>1.1654951812193965</v>
      </c>
    </row>
    <row r="8" spans="1:6" x14ac:dyDescent="0.3">
      <c r="B8" s="42">
        <v>775.93241103468574</v>
      </c>
      <c r="C8" s="42">
        <v>100944</v>
      </c>
      <c r="D8" s="64">
        <f t="shared" si="0"/>
        <v>101719.93241103468</v>
      </c>
      <c r="E8" s="42">
        <v>20.348485804501092</v>
      </c>
      <c r="F8" s="88" cm="1">
        <f t="array" ref="F8">[1]!Density("nitrogen","TP","SI with C",E8,D8/10^6)</f>
        <v>1.1679791966143949</v>
      </c>
    </row>
    <row r="9" spans="1:6" x14ac:dyDescent="0.3">
      <c r="B9" s="42">
        <v>775.62771287014823</v>
      </c>
      <c r="C9" s="42">
        <v>100937</v>
      </c>
      <c r="D9" s="64">
        <f t="shared" si="0"/>
        <v>101712.62771287015</v>
      </c>
      <c r="E9" s="42">
        <v>20.346933504708989</v>
      </c>
      <c r="F9" s="88" cm="1">
        <f t="array" ref="F9">[1]!Density("nitrogen","TP","SI with C",E9,D9/10^6)</f>
        <v>1.1679014955453912</v>
      </c>
    </row>
    <row r="10" spans="1:6" x14ac:dyDescent="0.3">
      <c r="B10" s="42">
        <v>775.49977906293975</v>
      </c>
      <c r="C10" s="42">
        <v>100947</v>
      </c>
      <c r="D10" s="64">
        <f t="shared" si="0"/>
        <v>101722.49977906294</v>
      </c>
      <c r="E10" s="42">
        <v>20.346730572269024</v>
      </c>
      <c r="F10" s="88" cm="1">
        <f t="array" ref="F10">[1]!Density("nitrogen","TP","SI with C",E10,D10/10^6)</f>
        <v>1.168015687003277</v>
      </c>
    </row>
    <row r="11" spans="1:6" x14ac:dyDescent="0.3">
      <c r="B11" s="42">
        <v>1009.0580676042672</v>
      </c>
      <c r="C11" s="42">
        <v>100958</v>
      </c>
      <c r="D11" s="64">
        <f t="shared" si="0"/>
        <v>101967.05806760427</v>
      </c>
      <c r="E11" s="42">
        <v>20.358908379984758</v>
      </c>
      <c r="F11" s="88" cm="1">
        <f t="array" ref="F11">[1]!Density("nitrogen","TP","SI with C",E11,D11/10^6)</f>
        <v>1.170775757502232</v>
      </c>
    </row>
    <row r="12" spans="1:6" x14ac:dyDescent="0.3">
      <c r="B12" s="42">
        <v>1008.9876811264176</v>
      </c>
      <c r="C12" s="42">
        <v>100956</v>
      </c>
      <c r="D12" s="64">
        <f t="shared" si="0"/>
        <v>101964.98768112641</v>
      </c>
      <c r="E12" s="42">
        <v>20.357119490423646</v>
      </c>
      <c r="F12" s="88" cm="1">
        <f t="array" ref="F12">[1]!Density("nitrogen","TP","SI with C",E12,D12/10^6)</f>
        <v>1.1707591347805619</v>
      </c>
    </row>
    <row r="13" spans="1:6" x14ac:dyDescent="0.3">
      <c r="A13" t="s">
        <v>38</v>
      </c>
      <c r="B13" s="42">
        <v>1009.0071345312501</v>
      </c>
      <c r="C13" s="42">
        <v>100951</v>
      </c>
      <c r="D13" s="64">
        <f t="shared" si="0"/>
        <v>101960.00713453125</v>
      </c>
      <c r="E13" s="42">
        <v>20.356590562980038</v>
      </c>
      <c r="F13" s="88" cm="1">
        <f t="array" ref="F13">[1]!Density("nitrogen","TP","SI with C",E13,D13/10^6)</f>
        <v>1.1707040500691226</v>
      </c>
    </row>
    <row r="14" spans="1:6" x14ac:dyDescent="0.3">
      <c r="B14" s="42">
        <v>2307.3024563490926</v>
      </c>
      <c r="C14" s="42">
        <v>100968</v>
      </c>
      <c r="D14" s="64">
        <f t="shared" si="0"/>
        <v>103275.30245634909</v>
      </c>
      <c r="E14" s="42">
        <v>20.369525875150689</v>
      </c>
      <c r="F14" s="88" cm="1">
        <f t="array" ref="F14">[1]!Density("nitrogen","TP","SI with C",E14,D14/10^6)</f>
        <v>1.1857575107773826</v>
      </c>
    </row>
    <row r="15" spans="1:6" x14ac:dyDescent="0.3">
      <c r="B15" s="42">
        <v>2308.1062275749646</v>
      </c>
      <c r="C15" s="42">
        <v>100965</v>
      </c>
      <c r="D15" s="64">
        <f t="shared" si="0"/>
        <v>103273.10622757496</v>
      </c>
      <c r="E15" s="42">
        <v>20.36950222050509</v>
      </c>
      <c r="F15" s="88" cm="1">
        <f t="array" ref="F15">[1]!Density("nitrogen","TP","SI with C",E15,D15/10^6)</f>
        <v>1.185732384459127</v>
      </c>
    </row>
    <row r="16" spans="1:6" x14ac:dyDescent="0.3">
      <c r="B16" s="42">
        <v>2308.1483380198756</v>
      </c>
      <c r="C16" s="42">
        <v>100965</v>
      </c>
      <c r="D16" s="64">
        <f t="shared" si="0"/>
        <v>103273.14833801988</v>
      </c>
      <c r="E16" s="42">
        <v>20.37067720799061</v>
      </c>
      <c r="F16" s="88" cm="1">
        <f t="array" ref="F16">[1]!Density("nitrogen","TP","SI with C",E16,D16/10^6)</f>
        <v>1.185728108454162</v>
      </c>
    </row>
    <row r="17" spans="1:6" x14ac:dyDescent="0.3">
      <c r="B17" s="42">
        <v>3477.5510742669353</v>
      </c>
      <c r="C17" s="42">
        <v>100984</v>
      </c>
      <c r="D17" s="64">
        <f t="shared" si="0"/>
        <v>104461.55107426693</v>
      </c>
      <c r="E17" s="42">
        <v>20.363625042427046</v>
      </c>
      <c r="F17" s="88" cm="1">
        <f t="array" ref="F17">[1]!Density("nitrogen","TP","SI with C",E17,D17/10^6)</f>
        <v>1.199404956328151</v>
      </c>
    </row>
    <row r="18" spans="1:6" x14ac:dyDescent="0.3">
      <c r="B18" s="42">
        <v>3477.6168583635599</v>
      </c>
      <c r="C18" s="42">
        <v>100979</v>
      </c>
      <c r="D18" s="64">
        <f t="shared" si="0"/>
        <v>104456.61685836356</v>
      </c>
      <c r="E18" s="42">
        <v>20.365750958923975</v>
      </c>
      <c r="F18" s="88" cm="1">
        <f t="array" ref="F18">[1]!Density("nitrogen","TP","SI with C",E18,D18/10^6)</f>
        <v>1.1993395779612401</v>
      </c>
    </row>
    <row r="19" spans="1:6" x14ac:dyDescent="0.3">
      <c r="B19" s="42">
        <v>3478.6787867954799</v>
      </c>
      <c r="C19" s="42">
        <v>100977</v>
      </c>
      <c r="D19" s="64">
        <f t="shared" si="0"/>
        <v>104455.67878679548</v>
      </c>
      <c r="E19" s="42">
        <v>20.367801331567094</v>
      </c>
      <c r="F19" s="88" cm="1">
        <f t="array" ref="F19">[1]!Density("nitrogen","TP","SI with C",E19,D19/10^6)</f>
        <v>1.1993204034874714</v>
      </c>
    </row>
    <row r="20" spans="1:6" x14ac:dyDescent="0.3">
      <c r="D20" s="64"/>
      <c r="F20" s="88"/>
    </row>
    <row r="21" spans="1:6" x14ac:dyDescent="0.3">
      <c r="B21">
        <v>514.76241123087459</v>
      </c>
      <c r="C21">
        <v>100770</v>
      </c>
      <c r="D21" s="64">
        <f t="shared" si="0"/>
        <v>101284.76241123087</v>
      </c>
      <c r="E21">
        <v>20.25964330781202</v>
      </c>
      <c r="F21" s="88" cm="1">
        <f t="array" ref="F21">[1]!Density("nitrogen","TP","SI with C",E21,D21/10^6)</f>
        <v>1.1633343486838577</v>
      </c>
    </row>
    <row r="22" spans="1:6" x14ac:dyDescent="0.3">
      <c r="B22">
        <v>514.55005295822684</v>
      </c>
      <c r="C22">
        <v>100761</v>
      </c>
      <c r="D22" s="64">
        <f t="shared" si="0"/>
        <v>101275.55005295822</v>
      </c>
      <c r="E22">
        <v>20.265026724441405</v>
      </c>
      <c r="F22" s="88" cm="1">
        <f t="array" ref="F22">[1]!Density("nitrogen","TP","SI with C",E22,D22/10^6)</f>
        <v>1.1632071126066059</v>
      </c>
    </row>
    <row r="23" spans="1:6" x14ac:dyDescent="0.3">
      <c r="B23">
        <v>514.4641773668003</v>
      </c>
      <c r="C23">
        <v>100766</v>
      </c>
      <c r="D23" s="64">
        <f t="shared" si="0"/>
        <v>101280.4641773668</v>
      </c>
      <c r="E23">
        <v>20.268951106127755</v>
      </c>
      <c r="F23" s="88" cm="1">
        <f t="array" ref="F23">[1]!Density("nitrogen","TP","SI with C",E23,D23/10^6)</f>
        <v>1.1632479673538711</v>
      </c>
    </row>
    <row r="24" spans="1:6" x14ac:dyDescent="0.3">
      <c r="B24">
        <v>583.84032530316085</v>
      </c>
      <c r="C24">
        <v>100742</v>
      </c>
      <c r="D24" s="64">
        <f t="shared" si="0"/>
        <v>101325.84032530316</v>
      </c>
      <c r="E24">
        <v>20.219535730354057</v>
      </c>
      <c r="F24" s="88" cm="1">
        <f t="array" ref="F24">[1]!Density("nitrogen","TP","SI with C",E24,D24/10^6)</f>
        <v>1.1639658099983081</v>
      </c>
    </row>
    <row r="25" spans="1:6" x14ac:dyDescent="0.3">
      <c r="B25">
        <v>583.6178948773138</v>
      </c>
      <c r="C25">
        <v>100742</v>
      </c>
      <c r="D25" s="64">
        <f t="shared" si="0"/>
        <v>101325.61789487732</v>
      </c>
      <c r="E25">
        <v>20.220701837001258</v>
      </c>
      <c r="F25" s="88" cm="1">
        <f t="array" ref="F25">[1]!Density("nitrogen","TP","SI with C",E25,D25/10^6)</f>
        <v>1.1639586151850674</v>
      </c>
    </row>
    <row r="26" spans="1:6" x14ac:dyDescent="0.3">
      <c r="B26">
        <v>583.69368996036872</v>
      </c>
      <c r="C26">
        <v>100742</v>
      </c>
      <c r="D26" s="64">
        <f t="shared" si="0"/>
        <v>101325.69368996038</v>
      </c>
      <c r="E26">
        <v>20.222865443884746</v>
      </c>
      <c r="F26" s="88" cm="1">
        <f t="array" ref="F26">[1]!Density("nitrogen","TP","SI with C",E26,D26/10^6)</f>
        <v>1.1639508787914494</v>
      </c>
    </row>
    <row r="27" spans="1:6" x14ac:dyDescent="0.3">
      <c r="A27" t="s">
        <v>34</v>
      </c>
      <c r="B27">
        <v>827.65569107914905</v>
      </c>
      <c r="C27">
        <v>100663</v>
      </c>
      <c r="D27" s="64">
        <f t="shared" si="0"/>
        <v>101490.65569107916</v>
      </c>
      <c r="E27">
        <v>20.20505806660691</v>
      </c>
      <c r="F27" s="88" cm="1">
        <f t="array" ref="F27">[1]!Density("nitrogen","TP","SI with C",E27,D27/10^6)</f>
        <v>1.1659172477698876</v>
      </c>
    </row>
    <row r="28" spans="1:6" x14ac:dyDescent="0.3">
      <c r="B28">
        <v>827.7558568174494</v>
      </c>
      <c r="C28">
        <v>100665</v>
      </c>
      <c r="D28" s="64">
        <f t="shared" si="0"/>
        <v>101492.75585681744</v>
      </c>
      <c r="E28">
        <v>20.207477237740655</v>
      </c>
      <c r="F28" s="88" cm="1">
        <f t="array" ref="F28">[1]!Density("nitrogen","TP","SI with C",E28,D28/10^6)</f>
        <v>1.1659317391771811</v>
      </c>
    </row>
    <row r="29" spans="1:6" x14ac:dyDescent="0.3">
      <c r="B29">
        <v>827.70960782482541</v>
      </c>
      <c r="C29">
        <v>100672</v>
      </c>
      <c r="D29" s="64">
        <f t="shared" si="0"/>
        <v>101499.70960782483</v>
      </c>
      <c r="E29">
        <v>20.208342979350952</v>
      </c>
      <c r="F29" s="88" cm="1">
        <f t="array" ref="F29">[1]!Density("nitrogen","TP","SI with C",E29,D29/10^6)</f>
        <v>1.1660081914336822</v>
      </c>
    </row>
    <row r="30" spans="1:6" x14ac:dyDescent="0.3">
      <c r="B30">
        <v>1152.0827144839639</v>
      </c>
      <c r="C30">
        <v>100656</v>
      </c>
      <c r="D30" s="64">
        <f t="shared" si="0"/>
        <v>101808.08271448396</v>
      </c>
      <c r="E30">
        <v>20.190412745631303</v>
      </c>
      <c r="F30" s="88" cm="1">
        <f t="array" ref="F30">[1]!Density("nitrogen","TP","SI with C",E30,D30/10^6)</f>
        <v>1.1696232506164272</v>
      </c>
    </row>
    <row r="31" spans="1:6" x14ac:dyDescent="0.3">
      <c r="B31">
        <v>1151.7224624481862</v>
      </c>
      <c r="C31">
        <v>100656</v>
      </c>
      <c r="D31" s="64">
        <f t="shared" si="0"/>
        <v>101807.72246244819</v>
      </c>
      <c r="E31">
        <v>20.192916077285012</v>
      </c>
      <c r="F31" s="88" cm="1">
        <f t="array" ref="F31">[1]!Density("nitrogen","TP","SI with C",E31,D31/10^6)</f>
        <v>1.1696091025030622</v>
      </c>
    </row>
    <row r="32" spans="1:6" x14ac:dyDescent="0.3">
      <c r="B32">
        <v>1151.9689320169641</v>
      </c>
      <c r="C32">
        <v>100653</v>
      </c>
      <c r="D32" s="64">
        <f t="shared" si="0"/>
        <v>101804.96893201697</v>
      </c>
      <c r="E32">
        <v>20.195339504930278</v>
      </c>
      <c r="F32" s="88" cm="1">
        <f t="array" ref="F32">[1]!Density("nitrogen","TP","SI with C",E32,D32/10^6)</f>
        <v>1.1695677727447504</v>
      </c>
    </row>
    <row r="33" spans="2:6" x14ac:dyDescent="0.3">
      <c r="B33">
        <v>3112.9455413263504</v>
      </c>
      <c r="C33">
        <v>100644</v>
      </c>
      <c r="D33" s="64">
        <f t="shared" si="0"/>
        <v>103756.94554132635</v>
      </c>
      <c r="E33">
        <v>20.183165769375478</v>
      </c>
      <c r="F33" s="88" cm="1">
        <f t="array" ref="F33">[1]!Density("nitrogen","TP","SI with C",E33,D33/10^6)</f>
        <v>1.1920477861016077</v>
      </c>
    </row>
    <row r="34" spans="2:6" x14ac:dyDescent="0.3">
      <c r="B34">
        <v>3113.3141996923819</v>
      </c>
      <c r="C34">
        <v>100648</v>
      </c>
      <c r="D34" s="64">
        <f t="shared" si="0"/>
        <v>103761.31419969238</v>
      </c>
      <c r="E34">
        <v>20.183202024324288</v>
      </c>
      <c r="F34" s="88" cm="1">
        <f t="array" ref="F34">[1]!Density("nitrogen","TP","SI with C",E34,D34/10^6)</f>
        <v>1.1920978414783505</v>
      </c>
    </row>
    <row r="35" spans="2:6" x14ac:dyDescent="0.3">
      <c r="B35">
        <v>3113.2101889334203</v>
      </c>
      <c r="C35">
        <v>100644</v>
      </c>
      <c r="D35" s="64">
        <f t="shared" si="0"/>
        <v>103757.21018893342</v>
      </c>
      <c r="E35">
        <v>20.18294551106705</v>
      </c>
      <c r="F35" s="88" cm="1">
        <f t="array" ref="F35">[1]!Density("nitrogen","TP","SI with C",E35,D35/10^6)</f>
        <v>1.192051724903195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65AA0-D484-4946-807A-C95171703D1D}">
  <dimension ref="C8:F21"/>
  <sheetViews>
    <sheetView workbookViewId="0">
      <selection activeCell="E14" sqref="E14"/>
    </sheetView>
  </sheetViews>
  <sheetFormatPr defaultRowHeight="14.4" x14ac:dyDescent="0.3"/>
  <sheetData>
    <row r="8" spans="3:6" x14ac:dyDescent="0.3">
      <c r="C8" s="19">
        <v>0</v>
      </c>
      <c r="D8">
        <v>1</v>
      </c>
      <c r="E8">
        <v>1.2</v>
      </c>
    </row>
    <row r="9" spans="3:6" x14ac:dyDescent="0.3">
      <c r="C9" s="19">
        <v>35</v>
      </c>
      <c r="D9">
        <v>1</v>
      </c>
      <c r="E9">
        <v>1.2</v>
      </c>
    </row>
    <row r="12" spans="3:6" x14ac:dyDescent="0.3">
      <c r="C12" t="s">
        <v>49</v>
      </c>
    </row>
    <row r="13" spans="3:6" x14ac:dyDescent="0.3">
      <c r="C13" s="36">
        <v>3.5</v>
      </c>
      <c r="D13">
        <v>0</v>
      </c>
      <c r="E13" s="13">
        <f>Data!W9</f>
        <v>0.21466905490113064</v>
      </c>
      <c r="F13" t="s">
        <v>37</v>
      </c>
    </row>
    <row r="14" spans="3:6" x14ac:dyDescent="0.3">
      <c r="C14" s="36">
        <f>C13+0.2</f>
        <v>3.7</v>
      </c>
      <c r="D14">
        <v>0</v>
      </c>
      <c r="E14" s="13">
        <f>Data!AS9</f>
        <v>0.60015953545781009</v>
      </c>
      <c r="F14" t="s">
        <v>47</v>
      </c>
    </row>
    <row r="15" spans="3:6" x14ac:dyDescent="0.3">
      <c r="C15" s="36">
        <f>C14+0.25</f>
        <v>3.95</v>
      </c>
      <c r="D15">
        <v>0</v>
      </c>
      <c r="E15" s="13">
        <f>Data!BT9</f>
        <v>0.49178447993103436</v>
      </c>
      <c r="F15" t="s">
        <v>29</v>
      </c>
    </row>
    <row r="16" spans="3:6" x14ac:dyDescent="0.3">
      <c r="C16" s="19"/>
    </row>
    <row r="18" spans="3:6" x14ac:dyDescent="0.3">
      <c r="C18" t="s">
        <v>49</v>
      </c>
    </row>
    <row r="19" spans="3:6" x14ac:dyDescent="0.3">
      <c r="C19" s="36">
        <v>32</v>
      </c>
      <c r="D19">
        <v>0</v>
      </c>
      <c r="E19" s="13">
        <f>Data!W9</f>
        <v>0.21466905490113064</v>
      </c>
      <c r="F19" t="s">
        <v>37</v>
      </c>
    </row>
    <row r="20" spans="3:6" x14ac:dyDescent="0.3">
      <c r="C20" s="36">
        <f>C19+1</f>
        <v>33</v>
      </c>
      <c r="D20">
        <v>0</v>
      </c>
      <c r="E20" s="13">
        <f>Data!AS9</f>
        <v>0.60015953545781009</v>
      </c>
      <c r="F20" t="s">
        <v>47</v>
      </c>
    </row>
    <row r="21" spans="3:6" x14ac:dyDescent="0.3">
      <c r="C21" s="36">
        <f>C20+1</f>
        <v>34</v>
      </c>
      <c r="D21">
        <v>0</v>
      </c>
      <c r="E21" s="13">
        <f>Data!BT9</f>
        <v>0.49178447993103436</v>
      </c>
      <c r="F21" t="s">
        <v>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7AFE8-FAD9-40BA-B610-7124AC660A7A}">
  <dimension ref="Q6:S17"/>
  <sheetViews>
    <sheetView workbookViewId="0">
      <selection activeCell="U25" sqref="U25"/>
    </sheetView>
  </sheetViews>
  <sheetFormatPr defaultRowHeight="14.4" x14ac:dyDescent="0.3"/>
  <cols>
    <col min="18" max="18" width="16.44140625" bestFit="1" customWidth="1"/>
    <col min="19" max="19" width="13.109375" bestFit="1" customWidth="1"/>
  </cols>
  <sheetData>
    <row r="6" spans="17:19" ht="15" thickBot="1" x14ac:dyDescent="0.35"/>
    <row r="7" spans="17:19" x14ac:dyDescent="0.3">
      <c r="Q7" s="79" t="s">
        <v>54</v>
      </c>
      <c r="R7" s="78" t="s">
        <v>53</v>
      </c>
      <c r="S7" s="77" t="s">
        <v>52</v>
      </c>
    </row>
    <row r="8" spans="17:19" x14ac:dyDescent="0.3">
      <c r="Q8" s="76">
        <v>1</v>
      </c>
      <c r="R8" s="9">
        <v>30</v>
      </c>
      <c r="S8" s="75">
        <v>0.18</v>
      </c>
    </row>
    <row r="9" spans="17:19" x14ac:dyDescent="0.3">
      <c r="Q9" s="76">
        <v>2</v>
      </c>
      <c r="R9" s="9">
        <v>20</v>
      </c>
      <c r="S9" s="75">
        <v>0.21</v>
      </c>
    </row>
    <row r="10" spans="17:19" x14ac:dyDescent="0.3">
      <c r="Q10" s="76">
        <v>3</v>
      </c>
      <c r="R10" s="9">
        <v>14.44</v>
      </c>
      <c r="S10" s="75">
        <v>0.21</v>
      </c>
    </row>
    <row r="11" spans="17:19" x14ac:dyDescent="0.3">
      <c r="Q11" s="76">
        <v>4</v>
      </c>
      <c r="R11" s="9">
        <v>9.98</v>
      </c>
      <c r="S11" s="75">
        <v>0.24</v>
      </c>
    </row>
    <row r="12" spans="17:19" x14ac:dyDescent="0.3">
      <c r="Q12" s="76">
        <v>5</v>
      </c>
      <c r="R12" s="9">
        <v>7</v>
      </c>
      <c r="S12" s="75">
        <v>0.22</v>
      </c>
    </row>
    <row r="13" spans="17:19" x14ac:dyDescent="0.3">
      <c r="Q13" s="76">
        <v>6</v>
      </c>
      <c r="R13" s="9">
        <v>4.32</v>
      </c>
      <c r="S13" s="75">
        <v>0.22</v>
      </c>
    </row>
    <row r="14" spans="17:19" x14ac:dyDescent="0.3">
      <c r="Q14" s="76">
        <v>7</v>
      </c>
      <c r="R14" s="9">
        <v>2</v>
      </c>
      <c r="S14" s="75">
        <v>0.19</v>
      </c>
    </row>
    <row r="15" spans="17:19" x14ac:dyDescent="0.3">
      <c r="Q15" s="76">
        <v>8</v>
      </c>
      <c r="R15" s="9">
        <v>0.99</v>
      </c>
      <c r="S15" s="75">
        <v>0.17</v>
      </c>
    </row>
    <row r="16" spans="17:19" x14ac:dyDescent="0.3">
      <c r="Q16" s="76">
        <v>9</v>
      </c>
      <c r="R16" s="9">
        <v>0.5</v>
      </c>
      <c r="S16" s="75">
        <v>0.1</v>
      </c>
    </row>
    <row r="17" spans="17:19" ht="15" thickBot="1" x14ac:dyDescent="0.35">
      <c r="Q17" s="74">
        <v>10</v>
      </c>
      <c r="R17" s="73">
        <v>0.24</v>
      </c>
      <c r="S17" s="72">
        <v>-0.23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EF9A29A0F06646A03FB8B2AC9D351B" ma:contentTypeVersion="15" ma:contentTypeDescription="Create a new document." ma:contentTypeScope="" ma:versionID="2d5e882f3ea48576f05d838933caa2b5">
  <xsd:schema xmlns:xsd="http://www.w3.org/2001/XMLSchema" xmlns:xs="http://www.w3.org/2001/XMLSchema" xmlns:p="http://schemas.microsoft.com/office/2006/metadata/properties" xmlns:ns2="6e620101-b500-4b9b-b2ff-9afacfd9d2a6" xmlns:ns3="ff648953-9008-4c41-b763-7456227eae4a" targetNamespace="http://schemas.microsoft.com/office/2006/metadata/properties" ma:root="true" ma:fieldsID="b4f22f41eafae4a2a6773aacfeb07832" ns2:_="" ns3:_="">
    <xsd:import namespace="6e620101-b500-4b9b-b2ff-9afacfd9d2a6"/>
    <xsd:import namespace="ff648953-9008-4c41-b763-7456227eae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620101-b500-4b9b-b2ff-9afacfd9d2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c8d0a502-75c6-45e6-acdf-f84b4c3971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648953-9008-4c41-b763-7456227eae4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72d7e63-36ab-4487-930a-c0a15b7033b1}" ma:internalName="TaxCatchAll" ma:showField="CatchAllData" ma:web="ff648953-9008-4c41-b763-7456227eae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620101-b500-4b9b-b2ff-9afacfd9d2a6">
      <Terms xmlns="http://schemas.microsoft.com/office/infopath/2007/PartnerControls"/>
    </lcf76f155ced4ddcb4097134ff3c332f>
    <TaxCatchAll xmlns="ff648953-9008-4c41-b763-7456227eae4a" xsi:nil="true"/>
  </documentManagement>
</p:properties>
</file>

<file path=customXml/itemProps1.xml><?xml version="1.0" encoding="utf-8"?>
<ds:datastoreItem xmlns:ds="http://schemas.openxmlformats.org/officeDocument/2006/customXml" ds:itemID="{E1684982-9988-4BAC-84D0-C5A7780B6483}"/>
</file>

<file path=customXml/itemProps2.xml><?xml version="1.0" encoding="utf-8"?>
<ds:datastoreItem xmlns:ds="http://schemas.openxmlformats.org/officeDocument/2006/customXml" ds:itemID="{D92A6EE3-188E-410D-82C8-A34BCD81BE56}"/>
</file>

<file path=customXml/itemProps3.xml><?xml version="1.0" encoding="utf-8"?>
<ds:datastoreItem xmlns:ds="http://schemas.openxmlformats.org/officeDocument/2006/customXml" ds:itemID="{17C2CF7F-CAD7-4809-9305-5F6C36DD49AA}"/>
</file>

<file path=docMetadata/LabelInfo.xml><?xml version="1.0" encoding="utf-8"?>
<clbl:labelList xmlns:clbl="http://schemas.microsoft.com/office/2020/mipLabelMetadata">
  <clbl:label id="{948094c8-480e-400b-91c4-c984b7e20814}" enabled="1" method="Standard" siteId="{a1109567-0815-4e1f-88af-e23555482aa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5</vt:i4>
      </vt:variant>
    </vt:vector>
  </HeadingPairs>
  <TitlesOfParts>
    <vt:vector size="9" baseType="lpstr">
      <vt:lpstr>Data</vt:lpstr>
      <vt:lpstr>VSL Densities</vt:lpstr>
      <vt:lpstr>Sheet2</vt:lpstr>
      <vt:lpstr>Factory Cal Cert</vt:lpstr>
      <vt:lpstr> Error MUT</vt:lpstr>
      <vt:lpstr> Error MUT (low flow)</vt:lpstr>
      <vt:lpstr>En</vt:lpstr>
      <vt:lpstr>En (low flow)</vt:lpstr>
      <vt:lpstr>En (VSL-INRIM)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Chinello, Gabriele</dc:creator>
  <cp:lastModifiedBy>Ara Abdulrahman</cp:lastModifiedBy>
  <cp:lastPrinted>2025-07-03T15:16:17Z</cp:lastPrinted>
  <dcterms:created xsi:type="dcterms:W3CDTF">2023-11-13T13:15:22Z</dcterms:created>
  <dcterms:modified xsi:type="dcterms:W3CDTF">2025-09-26T13:25:27Z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0x0101002CEF9A29A0F06646A03FB8B2AC9D351B</vt:lpwstr>
  </property>
</Properties>
</file>