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12"/>
  <workbookPr/>
  <mc:AlternateContent xmlns:mc="http://schemas.openxmlformats.org/markup-compatibility/2006">
    <mc:Choice Requires="x15">
      <x15ac:absPath xmlns:x15ac="http://schemas.microsoft.com/office/spreadsheetml/2010/11/ac" url="M:\Programma\Projecten\21GRD06 MetCCUS\WP1\Task 1.2 Intercomparison\Test Calibrations _Lowflow_VSL_Delft\"/>
    </mc:Choice>
  </mc:AlternateContent>
  <xr:revisionPtr revIDLastSave="0" documentId="13_ncr:1_{8FEF9B41-DA9E-4835-A196-F3377AD277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sults" sheetId="1" r:id="rId1"/>
    <sheet name="All Runs" sheetId="4" r:id="rId2"/>
    <sheet name="Mass flow uncertainty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 a="1"/>
  <c r="B10" i="3" a="1"/>
  <c r="B12" i="3" a="1"/>
  <c r="B11" i="3" a="1"/>
  <c r="B7" i="3" a="1"/>
  <c r="B6" i="3" a="1"/>
  <c r="B6" i="3" l="1"/>
  <c r="C6" i="3" s="1"/>
  <c r="D17" i="3" s="1"/>
  <c r="B7" i="3"/>
  <c r="C7" i="3" s="1"/>
  <c r="D16" i="3" s="1"/>
  <c r="E16" i="3" s="1"/>
  <c r="B11" i="3"/>
  <c r="B12" i="3"/>
  <c r="B10" i="3"/>
  <c r="B27" i="3" s="1"/>
  <c r="E26" i="3" s="1"/>
  <c r="B5" i="3"/>
  <c r="B19" i="3" s="1"/>
  <c r="E18" i="3" s="1"/>
  <c r="C12" i="3" l="1"/>
  <c r="D24" i="3" s="1"/>
  <c r="E24" i="3" s="1"/>
  <c r="C11" i="3"/>
  <c r="D25" i="3"/>
  <c r="E25" i="3" s="1"/>
  <c r="E27" i="3" s="1"/>
  <c r="E28" i="3" s="1"/>
  <c r="E17" i="3"/>
  <c r="E19" i="3" s="1"/>
  <c r="E20" i="3" s="1"/>
  <c r="F22" i="1" l="1"/>
  <c r="F20" i="1"/>
  <c r="F23" i="1"/>
  <c r="F24" i="1"/>
  <c r="F25" i="1"/>
  <c r="F21" i="1"/>
  <c r="F27" i="1"/>
  <c r="F26" i="1"/>
  <c r="F30" i="1"/>
  <c r="F29" i="1"/>
  <c r="F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<sst xmlns="http://schemas.openxmlformats.org/spreadsheetml/2006/main" count="103" uniqueCount="49">
  <si>
    <t>G16 PGM</t>
  </si>
  <si>
    <t>Nitrogen</t>
  </si>
  <si>
    <t>Meas.No.</t>
  </si>
  <si>
    <t>Qmut</t>
  </si>
  <si>
    <t>Qref</t>
  </si>
  <si>
    <t>error</t>
  </si>
  <si>
    <t>Unc. (k=2)</t>
  </si>
  <si>
    <t>e_2sd</t>
  </si>
  <si>
    <t>n</t>
  </si>
  <si>
    <t>-</t>
  </si>
  <si>
    <t>m3/h</t>
  </si>
  <si>
    <t>%</t>
  </si>
  <si>
    <t>CO2</t>
  </si>
  <si>
    <t>CMF010M Coriolis</t>
  </si>
  <si>
    <t>kg/h</t>
  </si>
  <si>
    <t>G16 atmospheric pressure N2</t>
  </si>
  <si>
    <t>pulse factor (p/m3)</t>
  </si>
  <si>
    <t>G16 atmospheric pressure CO2</t>
  </si>
  <si>
    <t>CMF010M atmospheric pressure N2</t>
  </si>
  <si>
    <t>pulse factor (p/kg)</t>
  </si>
  <si>
    <t>CMF010M atmospheric pressure CO2</t>
  </si>
  <si>
    <t>Qmut (m3/h)</t>
  </si>
  <si>
    <t>Qref (m3/h)</t>
  </si>
  <si>
    <t>Error (%)</t>
  </si>
  <si>
    <t>MUT pulses (N)</t>
  </si>
  <si>
    <t>MUT time (s)</t>
  </si>
  <si>
    <t>Prover time (s)</t>
  </si>
  <si>
    <t>Mmut (kg/h)</t>
  </si>
  <si>
    <t>Mref (kg/h)</t>
  </si>
  <si>
    <t>uncertainty (k=2)</t>
  </si>
  <si>
    <t>Vol CMC (k=2)</t>
  </si>
  <si>
    <t>Nitrogen Pressure and temperature sensitivity</t>
  </si>
  <si>
    <t>Rho(P,T)</t>
  </si>
  <si>
    <t>Rho(P+U,T)</t>
  </si>
  <si>
    <t>kg/m3/Mpa</t>
  </si>
  <si>
    <t>Rho(P,T+U)</t>
  </si>
  <si>
    <t>kg/m3/°C</t>
  </si>
  <si>
    <t>CO2 Pressure and temperature sensitivity</t>
  </si>
  <si>
    <t>Nitrgoen Density Uncertainty</t>
  </si>
  <si>
    <t>value</t>
  </si>
  <si>
    <t>U</t>
  </si>
  <si>
    <t>ci</t>
  </si>
  <si>
    <t>U(kg/m3)(k=2)</t>
  </si>
  <si>
    <t>Temperature (°C)</t>
  </si>
  <si>
    <t>Pressure (Pa)</t>
  </si>
  <si>
    <t>EOS (%)</t>
  </si>
  <si>
    <t>Density</t>
  </si>
  <si>
    <t>U (%)</t>
  </si>
  <si>
    <t>CO2 Density Uncertainty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</si>
</sst>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"/>
    <numFmt numFmtId="166" formatCode="0.000"/>
    <numFmt numFmtId="167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166" fontId="0" fillId="0" borderId="20" xfId="0" applyNumberFormat="1" applyBorder="1" applyAlignment="1">
      <alignment horizontal="center"/>
    </xf>
    <xf numFmtId="0" fontId="0" fillId="0" borderId="17" xfId="0" applyBorder="1"/>
    <xf numFmtId="0" fontId="0" fillId="0" borderId="16" xfId="0" applyBorder="1"/>
    <xf numFmtId="0" fontId="0" fillId="0" borderId="22" xfId="0" applyBorder="1"/>
    <xf numFmtId="0" fontId="0" fillId="0" borderId="4" xfId="0" applyBorder="1"/>
    <xf numFmtId="0" fontId="0" fillId="0" borderId="23" xfId="0" applyBorder="1"/>
    <xf numFmtId="164" fontId="0" fillId="0" borderId="0" xfId="0" applyNumberFormat="1"/>
    <xf numFmtId="0" fontId="0" fillId="0" borderId="18" xfId="0" applyBorder="1"/>
    <xf numFmtId="0" fontId="0" fillId="0" borderId="20" xfId="0" applyBorder="1"/>
    <xf numFmtId="0" fontId="0" fillId="0" borderId="24" xfId="0" applyBorder="1"/>
    <xf numFmtId="165" fontId="0" fillId="0" borderId="23" xfId="0" applyNumberFormat="1" applyBorder="1"/>
    <xf numFmtId="165" fontId="0" fillId="2" borderId="23" xfId="0" applyNumberFormat="1" applyFill="1" applyBorder="1"/>
    <xf numFmtId="165" fontId="0" fillId="0" borderId="24" xfId="0" applyNumberFormat="1" applyBorder="1"/>
    <xf numFmtId="164" fontId="0" fillId="0" borderId="20" xfId="0" applyNumberFormat="1" applyBorder="1"/>
    <xf numFmtId="0" fontId="0" fillId="0" borderId="14" xfId="0" applyBorder="1" applyAlignment="1">
      <alignment horizontal="center"/>
    </xf>
    <xf numFmtId="165" fontId="0" fillId="0" borderId="0" xfId="0" applyNumberFormat="1"/>
    <xf numFmtId="2" fontId="0" fillId="0" borderId="4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167" fontId="0" fillId="0" borderId="0" xfId="0" applyNumberFormat="1"/>
    <xf numFmtId="0" fontId="0" fillId="0" borderId="25" xfId="0" applyBorder="1"/>
    <xf numFmtId="0" fontId="0" fillId="0" borderId="25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PGM G16</a:t>
            </a:r>
            <a:r>
              <a:rPr lang="en-US" baseline="0"/>
              <a:t> </a:t>
            </a:r>
            <a:r>
              <a:rPr lang="en-US"/>
              <a:t>Meter error vs flowrate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Results!$C$4:$C$9</c:f>
              <c:numCache>
                <c:formatCode>0.0000</c:formatCode>
                <c:ptCount val="6"/>
                <c:pt idx="0">
                  <c:v>2.9385187447821957</c:v>
                </c:pt>
                <c:pt idx="1">
                  <c:v>2.2345310099178208</c:v>
                </c:pt>
                <c:pt idx="2">
                  <c:v>1.0129997259386216</c:v>
                </c:pt>
                <c:pt idx="3">
                  <c:v>0.60314755772428374</c:v>
                </c:pt>
                <c:pt idx="4">
                  <c:v>0.30082069318106824</c:v>
                </c:pt>
                <c:pt idx="5">
                  <c:v>0.10036621201895701</c:v>
                </c:pt>
              </c:numCache>
            </c:numRef>
          </c:xVal>
          <c:yVal>
            <c:numRef>
              <c:f>Results!$E$4:$E$9</c:f>
              <c:numCache>
                <c:formatCode>0.00</c:formatCode>
                <c:ptCount val="6"/>
                <c:pt idx="0">
                  <c:v>0.41468930010974364</c:v>
                </c:pt>
                <c:pt idx="1">
                  <c:v>0.41617316586092085</c:v>
                </c:pt>
                <c:pt idx="2">
                  <c:v>0.35135946063405366</c:v>
                </c:pt>
                <c:pt idx="3">
                  <c:v>0.30529843987212757</c:v>
                </c:pt>
                <c:pt idx="4">
                  <c:v>0.13259749924464709</c:v>
                </c:pt>
                <c:pt idx="5">
                  <c:v>-0.63224675609153413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3B-4993-8E7B-24DAD4FA33EA}"/>
            </c:ext>
          </c:extLst>
        </c:ser>
        <c:ser>
          <c:idx val="1"/>
          <c:order val="1"/>
          <c:tx>
            <c:v>CO2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Results!$C$10:$C$14</c:f>
              <c:numCache>
                <c:formatCode>0.0000</c:formatCode>
                <c:ptCount val="5"/>
                <c:pt idx="0">
                  <c:v>2.2402721711583689</c:v>
                </c:pt>
                <c:pt idx="1">
                  <c:v>0.99991169602689656</c:v>
                </c:pt>
                <c:pt idx="2">
                  <c:v>0.60532422979999079</c:v>
                </c:pt>
                <c:pt idx="3">
                  <c:v>0.29866240141887013</c:v>
                </c:pt>
                <c:pt idx="4">
                  <c:v>0.1000029130983912</c:v>
                </c:pt>
              </c:numCache>
            </c:numRef>
          </c:xVal>
          <c:yVal>
            <c:numRef>
              <c:f>Results!$E$10:$E$14</c:f>
              <c:numCache>
                <c:formatCode>0.00</c:formatCode>
                <c:ptCount val="5"/>
                <c:pt idx="0">
                  <c:v>0.35805023684521986</c:v>
                </c:pt>
                <c:pt idx="1">
                  <c:v>0.35830266821711926</c:v>
                </c:pt>
                <c:pt idx="2">
                  <c:v>0.34045729549933779</c:v>
                </c:pt>
                <c:pt idx="3">
                  <c:v>0.12870803902655292</c:v>
                </c:pt>
                <c:pt idx="4">
                  <c:v>-0.77016356559986932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3B-4993-8E7B-24DAD4FA3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8872160"/>
        <c:axId val="2128874560"/>
      </c:scatterChart>
      <c:valAx>
        <c:axId val="212887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flowrate (m</a:t>
                </a:r>
                <a:r>
                  <a:rPr lang="en-US" baseline="30000"/>
                  <a:t>3</a:t>
                </a:r>
                <a:r>
                  <a:rPr lang="en-US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128874560"/>
        <c:crosses val="autoZero"/>
        <c:crossBetween val="midCat"/>
      </c:valAx>
      <c:valAx>
        <c:axId val="212887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meter error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128872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CMF010 Meter error vs flowrate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Results!$C$20:$C$25</c:f>
              <c:numCache>
                <c:formatCode>0.0000</c:formatCode>
                <c:ptCount val="6"/>
                <c:pt idx="0">
                  <c:v>0.125116</c:v>
                </c:pt>
                <c:pt idx="1">
                  <c:v>0.34350199999999997</c:v>
                </c:pt>
                <c:pt idx="2">
                  <c:v>0.74712000000000001</c:v>
                </c:pt>
                <c:pt idx="3">
                  <c:v>1.2474800000000001</c:v>
                </c:pt>
                <c:pt idx="4">
                  <c:v>2.5725579999999999</c:v>
                </c:pt>
                <c:pt idx="5">
                  <c:v>3.5122680000000002</c:v>
                </c:pt>
              </c:numCache>
            </c:numRef>
          </c:xVal>
          <c:yVal>
            <c:numRef>
              <c:f>Results!$E$20:$E$25</c:f>
              <c:numCache>
                <c:formatCode>0.00</c:formatCode>
                <c:ptCount val="6"/>
                <c:pt idx="0">
                  <c:v>-0.4750296919912908</c:v>
                </c:pt>
                <c:pt idx="1">
                  <c:v>-0.79946536986634398</c:v>
                </c:pt>
                <c:pt idx="2">
                  <c:v>-2.8384849924149209E-2</c:v>
                </c:pt>
                <c:pt idx="3">
                  <c:v>0.11495306649729038</c:v>
                </c:pt>
                <c:pt idx="4">
                  <c:v>0.32406070030432249</c:v>
                </c:pt>
                <c:pt idx="5">
                  <c:v>0.45629020319876651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6D-4145-AEA3-BAF577024562}"/>
            </c:ext>
          </c:extLst>
        </c:ser>
        <c:ser>
          <c:idx val="1"/>
          <c:order val="1"/>
          <c:tx>
            <c:v>CO2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Results!$C$26:$C$30</c:f>
              <c:numCache>
                <c:formatCode>0.0000</c:formatCode>
                <c:ptCount val="5"/>
                <c:pt idx="0">
                  <c:v>4.2213219999999998</c:v>
                </c:pt>
                <c:pt idx="1">
                  <c:v>1.8417739999999998</c:v>
                </c:pt>
                <c:pt idx="2">
                  <c:v>1.1802280000000001</c:v>
                </c:pt>
                <c:pt idx="3">
                  <c:v>0.54734400000000005</c:v>
                </c:pt>
                <c:pt idx="4">
                  <c:v>0.19224800000000003</c:v>
                </c:pt>
              </c:numCache>
            </c:numRef>
          </c:xVal>
          <c:yVal>
            <c:numRef>
              <c:f>Results!$E$26:$E$30</c:f>
              <c:numCache>
                <c:formatCode>0.00</c:formatCode>
                <c:ptCount val="5"/>
                <c:pt idx="0">
                  <c:v>0.15289350732900744</c:v>
                </c:pt>
                <c:pt idx="1">
                  <c:v>-0.20119005306703053</c:v>
                </c:pt>
                <c:pt idx="2">
                  <c:v>-0.81591551380338656</c:v>
                </c:pt>
                <c:pt idx="3">
                  <c:v>-0.31777354070643671</c:v>
                </c:pt>
                <c:pt idx="4">
                  <c:v>0.31904143198243956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C6D-4145-AEA3-BAF577024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8872160"/>
        <c:axId val="2128874560"/>
      </c:scatterChart>
      <c:valAx>
        <c:axId val="2128872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flowrate (kg/h)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128874560"/>
        <c:crosses val="autoZero"/>
        <c:crossBetween val="midCat"/>
      </c:valAx>
      <c:valAx>
        <c:axId val="212887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meter error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2128872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358140</xdr:colOff>
      <xdr:row>0</xdr:row>
      <xdr:rowOff>163830</xdr:rowOff>
    </xdr:from>
    <xdr:to>
      <xdr:col>17</xdr:col>
      <xdr:colOff>579120</xdr:colOff>
      <xdr:row>17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3ADD12-3AB4-85E0-0488-03D79BB232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373380</xdr:colOff>
      <xdr:row>16</xdr:row>
      <xdr:rowOff>45720</xdr:rowOff>
    </xdr:from>
    <xdr:to>
      <xdr:col>17</xdr:col>
      <xdr:colOff>480060</xdr:colOff>
      <xdr:row>29</xdr:row>
      <xdr:rowOff>140970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3B6343-4DD2-43DC-A22A-1DABCE647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%20(x86)\REFPROP\REFPROP.XLA" TargetMode="External"/><Relationship Id="rId1" Type="http://schemas.openxmlformats.org/officeDocument/2006/relationships/externalLinkPath" Target="file:///C:\Program%20Files%20(x86)\REFPROP\REFPROP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REFPROP"/>
    </sheetNames>
    <definedNames>
      <definedName name="Density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tabSelected="1" workbookViewId="0">
      <selection activeCell="E7" sqref="E7"/>
    </sheetView>
  </sheetViews>
  <sheetFormatPr defaultColWidth="8.85546875" defaultRowHeight="14.45"/>
  <cols>
    <col min="1" max="2" width="8.85546875" style="2"/>
    <col min="3" max="3" width="9" style="2" bestFit="1" customWidth="1"/>
    <col min="4" max="4" width="9.42578125" style="2" bestFit="1" customWidth="1"/>
    <col min="5" max="5" width="9" style="2" bestFit="1" customWidth="1"/>
    <col min="6" max="6" width="12.140625" style="2" bestFit="1" customWidth="1"/>
    <col min="7" max="7" width="9" style="2" bestFit="1" customWidth="1"/>
    <col min="8" max="16384" width="8.85546875" style="2"/>
  </cols>
  <sheetData>
    <row r="1" spans="1:8">
      <c r="B1" s="73" t="s">
        <v>0</v>
      </c>
      <c r="C1" s="74"/>
      <c r="D1" s="74"/>
      <c r="E1" s="74"/>
      <c r="F1" s="74"/>
      <c r="G1" s="74"/>
      <c r="H1" s="75"/>
    </row>
    <row r="2" spans="1:8">
      <c r="A2" s="70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6" t="s">
        <v>8</v>
      </c>
    </row>
    <row r="3" spans="1:8">
      <c r="A3" s="71"/>
      <c r="B3" s="2" t="s">
        <v>9</v>
      </c>
      <c r="C3" s="2" t="s">
        <v>10</v>
      </c>
      <c r="D3" s="2" t="s">
        <v>10</v>
      </c>
      <c r="E3" s="2" t="s">
        <v>11</v>
      </c>
      <c r="F3" s="2" t="s">
        <v>11</v>
      </c>
      <c r="G3" s="2" t="s">
        <v>11</v>
      </c>
      <c r="H3" s="6" t="s">
        <v>9</v>
      </c>
    </row>
    <row r="4" spans="1:8">
      <c r="A4" s="71"/>
      <c r="B4" s="2">
        <v>1</v>
      </c>
      <c r="C4" s="14">
        <v>2.9385187447821957</v>
      </c>
      <c r="D4" s="14">
        <v>2.9263833568984134</v>
      </c>
      <c r="E4" s="7">
        <v>0.41468930010974364</v>
      </c>
      <c r="F4" s="7">
        <v>0.20114332636181656</v>
      </c>
      <c r="G4" s="8">
        <v>2.1415829190022901E-2</v>
      </c>
      <c r="H4" s="6">
        <v>5</v>
      </c>
    </row>
    <row r="5" spans="1:8">
      <c r="A5" s="71"/>
      <c r="B5" s="2">
        <v>2</v>
      </c>
      <c r="C5" s="14">
        <v>2.2345310099178208</v>
      </c>
      <c r="D5" s="14">
        <v>2.2252700358044684</v>
      </c>
      <c r="E5" s="7">
        <v>0.41617316586092085</v>
      </c>
      <c r="F5" s="7">
        <v>0.20015431222639302</v>
      </c>
      <c r="G5" s="8">
        <v>7.8580342847568534E-3</v>
      </c>
      <c r="H5" s="6">
        <v>5</v>
      </c>
    </row>
    <row r="6" spans="1:8">
      <c r="A6" s="71"/>
      <c r="B6" s="2">
        <v>3</v>
      </c>
      <c r="C6" s="14">
        <v>1.0129997259386216</v>
      </c>
      <c r="D6" s="14">
        <v>1.009452931680445</v>
      </c>
      <c r="E6" s="7">
        <v>0.35135946063405366</v>
      </c>
      <c r="F6" s="7">
        <v>0.20066608643165548</v>
      </c>
      <c r="G6" s="8">
        <v>1.6336408534210378E-2</v>
      </c>
      <c r="H6" s="6">
        <v>5</v>
      </c>
    </row>
    <row r="7" spans="1:8">
      <c r="A7" s="71"/>
      <c r="B7" s="2">
        <v>4</v>
      </c>
      <c r="C7" s="14">
        <v>0.60314755772428374</v>
      </c>
      <c r="D7" s="14">
        <v>0.60131176845696011</v>
      </c>
      <c r="E7" s="7">
        <v>0.30529843987212757</v>
      </c>
      <c r="F7" s="7">
        <v>0.20126356910382068</v>
      </c>
      <c r="G7" s="8">
        <v>2.2517198946769398E-2</v>
      </c>
      <c r="H7" s="6">
        <v>5</v>
      </c>
    </row>
    <row r="8" spans="1:8">
      <c r="A8" s="71"/>
      <c r="B8" s="2">
        <v>5</v>
      </c>
      <c r="C8" s="14">
        <v>0.30082069318106824</v>
      </c>
      <c r="D8" s="14">
        <v>0.30042234284401081</v>
      </c>
      <c r="E8" s="7">
        <v>0.13259749924464709</v>
      </c>
      <c r="F8" s="7">
        <v>0.20201082026850162</v>
      </c>
      <c r="G8" s="8">
        <v>2.8431874816002844E-2</v>
      </c>
      <c r="H8" s="6">
        <v>5</v>
      </c>
    </row>
    <row r="9" spans="1:8">
      <c r="A9" s="72"/>
      <c r="B9" s="22">
        <v>6</v>
      </c>
      <c r="C9" s="19">
        <v>0.10036621201895701</v>
      </c>
      <c r="D9" s="19">
        <v>0.1010048080881288</v>
      </c>
      <c r="E9" s="20">
        <v>-0.63224675609153413</v>
      </c>
      <c r="F9" s="20">
        <v>0.2676338465985858</v>
      </c>
      <c r="G9" s="23">
        <v>0.17784227800260366</v>
      </c>
      <c r="H9" s="21">
        <v>5</v>
      </c>
    </row>
    <row r="10" spans="1:8">
      <c r="A10" s="70" t="s">
        <v>12</v>
      </c>
      <c r="B10" s="2">
        <v>7</v>
      </c>
      <c r="C10" s="14">
        <v>2.2402721711583689</v>
      </c>
      <c r="D10" s="14">
        <v>2.2322795482028885</v>
      </c>
      <c r="E10" s="7">
        <v>0.35805023684521986</v>
      </c>
      <c r="F10" s="7">
        <v>0.20185652391090564</v>
      </c>
      <c r="G10" s="8">
        <v>2.731403019318112E-2</v>
      </c>
      <c r="H10" s="6">
        <v>5</v>
      </c>
    </row>
    <row r="11" spans="1:8">
      <c r="A11" s="71"/>
      <c r="B11" s="2">
        <v>8</v>
      </c>
      <c r="C11" s="14">
        <v>0.99991169602689656</v>
      </c>
      <c r="D11" s="14">
        <v>0.99634177707753258</v>
      </c>
      <c r="E11" s="7">
        <v>0.35830266821711926</v>
      </c>
      <c r="F11" s="7">
        <v>0.20023423950525437</v>
      </c>
      <c r="G11" s="8">
        <v>9.6824929768924446E-3</v>
      </c>
      <c r="H11" s="6">
        <v>5</v>
      </c>
    </row>
    <row r="12" spans="1:8">
      <c r="A12" s="71"/>
      <c r="B12" s="2">
        <v>9</v>
      </c>
      <c r="C12" s="14">
        <v>0.60532422979999079</v>
      </c>
      <c r="D12" s="14">
        <v>0.6032703525982045</v>
      </c>
      <c r="E12" s="7">
        <v>0.34045729549933779</v>
      </c>
      <c r="F12" s="7">
        <v>0.20013651923342049</v>
      </c>
      <c r="G12" s="8">
        <v>7.390962783648862E-3</v>
      </c>
      <c r="H12" s="6">
        <v>5</v>
      </c>
    </row>
    <row r="13" spans="1:8">
      <c r="A13" s="71"/>
      <c r="B13" s="2">
        <v>10</v>
      </c>
      <c r="C13" s="14">
        <v>0.29866240141887013</v>
      </c>
      <c r="D13" s="14">
        <v>0.29827849116176974</v>
      </c>
      <c r="E13" s="7">
        <v>0.12870803902655292</v>
      </c>
      <c r="F13" s="7">
        <v>0.20081375031332335</v>
      </c>
      <c r="G13" s="8">
        <v>1.8059964421387135E-2</v>
      </c>
      <c r="H13" s="6">
        <v>5</v>
      </c>
    </row>
    <row r="14" spans="1:8" ht="15" thickBot="1">
      <c r="A14" s="72"/>
      <c r="B14" s="10">
        <v>11</v>
      </c>
      <c r="C14" s="15">
        <v>0.1000029130983912</v>
      </c>
      <c r="D14" s="15">
        <v>0.1007790810256574</v>
      </c>
      <c r="E14" s="11">
        <v>-0.77016356559986932</v>
      </c>
      <c r="F14" s="11">
        <v>0.24548030503905022</v>
      </c>
      <c r="G14" s="12">
        <v>0.14233966475324134</v>
      </c>
      <c r="H14" s="13">
        <v>5</v>
      </c>
    </row>
    <row r="17" spans="1:8" ht="15" thickBot="1">
      <c r="B17" s="79" t="s">
        <v>13</v>
      </c>
      <c r="C17" s="79"/>
      <c r="D17" s="79"/>
      <c r="E17" s="79"/>
      <c r="F17" s="79"/>
      <c r="G17" s="79"/>
      <c r="H17" s="79"/>
    </row>
    <row r="18" spans="1:8">
      <c r="B18" s="3" t="s">
        <v>2</v>
      </c>
      <c r="C18" s="4" t="s">
        <v>3</v>
      </c>
      <c r="D18" s="4" t="s">
        <v>4</v>
      </c>
      <c r="E18" s="4" t="s">
        <v>5</v>
      </c>
      <c r="F18" s="4" t="s">
        <v>6</v>
      </c>
      <c r="G18" s="4" t="s">
        <v>7</v>
      </c>
      <c r="H18" s="5" t="s">
        <v>8</v>
      </c>
    </row>
    <row r="19" spans="1:8">
      <c r="B19" s="1" t="s">
        <v>9</v>
      </c>
      <c r="C19" s="2" t="s">
        <v>14</v>
      </c>
      <c r="D19" s="2" t="s">
        <v>14</v>
      </c>
      <c r="E19" s="2" t="s">
        <v>11</v>
      </c>
      <c r="F19" s="2" t="s">
        <v>11</v>
      </c>
      <c r="G19" s="2" t="s">
        <v>11</v>
      </c>
      <c r="H19" s="6" t="s">
        <v>9</v>
      </c>
    </row>
    <row r="20" spans="1:8">
      <c r="A20" s="76" t="s">
        <v>1</v>
      </c>
      <c r="B20" s="1">
        <v>1</v>
      </c>
      <c r="C20" s="14">
        <v>0.125116</v>
      </c>
      <c r="D20" s="14">
        <v>0.12571316470788771</v>
      </c>
      <c r="E20" s="7">
        <v>-0.4750296919912908</v>
      </c>
      <c r="F20" s="7">
        <f>SQRT(SUMSQ('Mass flow uncertainty'!B$2,'Mass flow uncertainty'!E$20,G20))</f>
        <v>0.53269495161092972</v>
      </c>
      <c r="G20" s="7">
        <v>0.4915657525254577</v>
      </c>
      <c r="H20" s="6">
        <v>5</v>
      </c>
    </row>
    <row r="21" spans="1:8">
      <c r="A21" s="77"/>
      <c r="B21" s="1">
        <v>2</v>
      </c>
      <c r="C21" s="14">
        <v>0.34350199999999997</v>
      </c>
      <c r="D21" s="14">
        <v>0.34627030927122349</v>
      </c>
      <c r="E21" s="7">
        <v>-0.79946536986634398</v>
      </c>
      <c r="F21" s="7">
        <f>SQRT(SUMSQ('Mass flow uncertainty'!B$2,'Mass flow uncertainty'!E$20,G21))</f>
        <v>0.23995306396223062</v>
      </c>
      <c r="G21" s="7">
        <v>0.12429984106591246</v>
      </c>
      <c r="H21" s="6">
        <v>5</v>
      </c>
    </row>
    <row r="22" spans="1:8">
      <c r="A22" s="77"/>
      <c r="B22" s="1">
        <v>3</v>
      </c>
      <c r="C22" s="14">
        <v>0.74712000000000001</v>
      </c>
      <c r="D22" s="14">
        <v>0.74733213760962069</v>
      </c>
      <c r="E22" s="7">
        <v>-2.8384849924149209E-2</v>
      </c>
      <c r="F22" s="7">
        <f>SQRT(SUMSQ('Mass flow uncertainty'!B$2,'Mass flow uncertainty'!E$20,G22))</f>
        <v>0.23330658473797594</v>
      </c>
      <c r="G22" s="7">
        <v>0.11092763436694712</v>
      </c>
      <c r="H22" s="6">
        <v>5</v>
      </c>
    </row>
    <row r="23" spans="1:8">
      <c r="A23" s="77"/>
      <c r="B23" s="1">
        <v>4</v>
      </c>
      <c r="C23" s="14">
        <v>1.2474800000000001</v>
      </c>
      <c r="D23" s="14">
        <v>1.2460476226419561</v>
      </c>
      <c r="E23" s="7">
        <v>0.11495306649729038</v>
      </c>
      <c r="F23" s="7">
        <f>SQRT(SUMSQ('Mass flow uncertainty'!B$2,'Mass flow uncertainty'!E$20,G23))</f>
        <v>0.22541834190318624</v>
      </c>
      <c r="G23" s="7">
        <v>9.3200892970671356E-2</v>
      </c>
      <c r="H23" s="6">
        <v>5</v>
      </c>
    </row>
    <row r="24" spans="1:8">
      <c r="A24" s="77"/>
      <c r="B24" s="1">
        <v>5</v>
      </c>
      <c r="C24" s="14">
        <v>2.5725579999999999</v>
      </c>
      <c r="D24" s="14">
        <v>2.5642482807757214</v>
      </c>
      <c r="E24" s="7">
        <v>0.32406070030432249</v>
      </c>
      <c r="F24" s="7">
        <f>SQRT(SUMSQ('Mass flow uncertainty'!B$2,'Mass flow uncertainty'!E$20,G24))</f>
        <v>0.232192954754665</v>
      </c>
      <c r="G24" s="7">
        <v>0.10856585937508477</v>
      </c>
      <c r="H24" s="6">
        <v>5</v>
      </c>
    </row>
    <row r="25" spans="1:8">
      <c r="A25" s="78"/>
      <c r="B25" s="18">
        <v>6</v>
      </c>
      <c r="C25" s="19">
        <v>3.5122680000000002</v>
      </c>
      <c r="D25" s="19">
        <v>3.496314704996518</v>
      </c>
      <c r="E25" s="20">
        <v>0.45629020319876651</v>
      </c>
      <c r="F25" s="20">
        <f>SQRT(SUMSQ('Mass flow uncertainty'!B$2,'Mass flow uncertainty'!E$20,G25))</f>
        <v>0.21300208283910702</v>
      </c>
      <c r="G25" s="20">
        <v>5.6946157710126254E-2</v>
      </c>
      <c r="H25" s="21">
        <v>5</v>
      </c>
    </row>
    <row r="26" spans="1:8">
      <c r="A26" s="76" t="s">
        <v>12</v>
      </c>
      <c r="B26" s="1">
        <v>7</v>
      </c>
      <c r="C26" s="14">
        <v>4.2213219999999998</v>
      </c>
      <c r="D26" s="14">
        <v>4.2148777635679453</v>
      </c>
      <c r="E26" s="7">
        <v>0.15289350732900744</v>
      </c>
      <c r="F26" s="7">
        <f>SQRT(SUMSQ('Mass flow uncertainty'!B$2,'Mass flow uncertainty'!E$28,G26))</f>
        <v>0.21180110240052377</v>
      </c>
      <c r="G26" s="7">
        <v>2.8619227617604742E-2</v>
      </c>
      <c r="H26" s="6">
        <v>5</v>
      </c>
    </row>
    <row r="27" spans="1:8">
      <c r="A27" s="77"/>
      <c r="B27" s="1">
        <v>8</v>
      </c>
      <c r="C27" s="14">
        <v>1.8417739999999998</v>
      </c>
      <c r="D27" s="14">
        <v>1.8454869599279682</v>
      </c>
      <c r="E27" s="7">
        <v>-0.20119005306703053</v>
      </c>
      <c r="F27" s="7">
        <f>SQRT(SUMSQ('Mass flow uncertainty'!B$2,'Mass flow uncertainty'!E$28,G27))</f>
        <v>0.21805109650573495</v>
      </c>
      <c r="G27" s="7">
        <v>5.9208393819664216E-2</v>
      </c>
      <c r="H27" s="6">
        <v>5</v>
      </c>
    </row>
    <row r="28" spans="1:8">
      <c r="A28" s="77"/>
      <c r="B28" s="1">
        <v>9</v>
      </c>
      <c r="C28" s="14">
        <v>1.1802280000000001</v>
      </c>
      <c r="D28" s="14">
        <v>1.1899369178751564</v>
      </c>
      <c r="E28" s="7">
        <v>-0.81591551380338656</v>
      </c>
      <c r="F28" s="7">
        <f>SQRT(SUMSQ('Mass flow uncertainty'!B$2,'Mass flow uncertainty'!E$28,G28))</f>
        <v>0.23201530651847557</v>
      </c>
      <c r="G28" s="7">
        <v>9.8946731478171041E-2</v>
      </c>
      <c r="H28" s="6">
        <v>5</v>
      </c>
    </row>
    <row r="29" spans="1:8">
      <c r="A29" s="77"/>
      <c r="B29" s="1">
        <v>10</v>
      </c>
      <c r="C29" s="14">
        <v>0.54734400000000005</v>
      </c>
      <c r="D29" s="14">
        <v>0.54908887195127187</v>
      </c>
      <c r="E29" s="7">
        <v>-0.31777354070643671</v>
      </c>
      <c r="F29" s="7">
        <f>SQRT(SUMSQ('Mass flow uncertainty'!B$2,'Mass flow uncertainty'!E$28,G29))</f>
        <v>0.22597344537683101</v>
      </c>
      <c r="G29" s="7">
        <v>8.3805436737879574E-2</v>
      </c>
      <c r="H29" s="6">
        <v>5</v>
      </c>
    </row>
    <row r="30" spans="1:8" ht="15" thickBot="1">
      <c r="A30" s="78"/>
      <c r="B30" s="9">
        <v>11</v>
      </c>
      <c r="C30" s="15">
        <v>0.19224800000000003</v>
      </c>
      <c r="D30" s="15">
        <v>0.19163659913891878</v>
      </c>
      <c r="E30" s="11">
        <v>0.31904143198243956</v>
      </c>
      <c r="F30" s="11">
        <f>SQRT(SUMSQ('Mass flow uncertainty'!B$2,'Mass flow uncertainty'!E$28,G30))</f>
        <v>0.2459804152643936</v>
      </c>
      <c r="G30" s="11">
        <v>0.1283188135270687</v>
      </c>
      <c r="H30" s="13">
        <v>5</v>
      </c>
    </row>
  </sheetData>
  <mergeCells count="6">
    <mergeCell ref="A2:A9"/>
    <mergeCell ref="A10:A14"/>
    <mergeCell ref="B1:H1"/>
    <mergeCell ref="A20:A25"/>
    <mergeCell ref="A26:A30"/>
    <mergeCell ref="B17:H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36ACA-B619-4029-B7D0-020BAE1FA32F}">
  <dimension ref="B1:AC32"/>
  <sheetViews>
    <sheetView workbookViewId="0">
      <selection activeCell="G12" sqref="G12"/>
    </sheetView>
  </sheetViews>
  <sheetFormatPr defaultRowHeight="14.45"/>
  <cols>
    <col min="2" max="3" width="13.28515625" customWidth="1"/>
    <col min="4" max="4" width="13.42578125" customWidth="1"/>
    <col min="5" max="5" width="13.42578125" bestFit="1" customWidth="1"/>
    <col min="6" max="6" width="16.85546875" customWidth="1"/>
    <col min="7" max="7" width="12.7109375" bestFit="1" customWidth="1"/>
    <col min="9" max="10" width="13.7109375" customWidth="1"/>
    <col min="11" max="11" width="13.140625" customWidth="1"/>
    <col min="12" max="12" width="13.42578125" bestFit="1" customWidth="1"/>
    <col min="13" max="13" width="16.85546875" customWidth="1"/>
    <col min="14" max="14" width="12.7109375" bestFit="1" customWidth="1"/>
    <col min="16" max="17" width="16.7109375" customWidth="1"/>
    <col min="18" max="18" width="17.42578125" customWidth="1"/>
    <col min="19" max="19" width="13.42578125" bestFit="1" customWidth="1"/>
    <col min="20" max="20" width="16.85546875" customWidth="1"/>
    <col min="21" max="21" width="12.7109375" bestFit="1" customWidth="1"/>
    <col min="23" max="24" width="15.28515625" customWidth="1"/>
    <col min="25" max="25" width="17.28515625" customWidth="1"/>
    <col min="26" max="26" width="13.42578125" bestFit="1" customWidth="1"/>
    <col min="27" max="27" width="16.85546875" customWidth="1"/>
    <col min="28" max="28" width="12.7109375" bestFit="1" customWidth="1"/>
    <col min="29" max="29" width="17.28515625" customWidth="1"/>
  </cols>
  <sheetData>
    <row r="1" spans="2:29">
      <c r="B1" s="73" t="s">
        <v>15</v>
      </c>
      <c r="C1" s="74"/>
      <c r="D1" s="75"/>
      <c r="E1" s="47"/>
      <c r="F1" s="47" t="s">
        <v>16</v>
      </c>
      <c r="G1" s="48">
        <v>49200</v>
      </c>
      <c r="I1" s="80" t="s">
        <v>17</v>
      </c>
      <c r="J1" s="81"/>
      <c r="K1" s="82"/>
      <c r="L1" s="47"/>
      <c r="M1" s="47" t="s">
        <v>16</v>
      </c>
      <c r="N1" s="48">
        <v>49200</v>
      </c>
      <c r="P1" s="83" t="s">
        <v>18</v>
      </c>
      <c r="Q1" s="84"/>
      <c r="R1" s="85"/>
      <c r="S1" s="47"/>
      <c r="T1" s="47" t="s">
        <v>19</v>
      </c>
      <c r="U1" s="48">
        <v>800000</v>
      </c>
      <c r="W1" s="83" t="s">
        <v>20</v>
      </c>
      <c r="X1" s="84"/>
      <c r="Y1" s="85"/>
      <c r="Z1" s="47"/>
      <c r="AA1" s="47" t="s">
        <v>19</v>
      </c>
      <c r="AB1" s="48">
        <v>800000</v>
      </c>
      <c r="AC1" s="2"/>
    </row>
    <row r="2" spans="2:29">
      <c r="B2" s="16" t="s">
        <v>21</v>
      </c>
      <c r="C2" s="37" t="s">
        <v>22</v>
      </c>
      <c r="D2" s="17" t="s">
        <v>23</v>
      </c>
      <c r="E2" s="48" t="s">
        <v>24</v>
      </c>
      <c r="F2" s="48" t="s">
        <v>25</v>
      </c>
      <c r="G2" s="48" t="s">
        <v>26</v>
      </c>
      <c r="I2" s="43" t="s">
        <v>21</v>
      </c>
      <c r="J2" s="37" t="s">
        <v>22</v>
      </c>
      <c r="K2" s="44" t="s">
        <v>23</v>
      </c>
      <c r="L2" s="48" t="s">
        <v>24</v>
      </c>
      <c r="M2" s="48" t="s">
        <v>25</v>
      </c>
      <c r="N2" s="48" t="s">
        <v>26</v>
      </c>
      <c r="P2" s="43" t="s">
        <v>27</v>
      </c>
      <c r="Q2" s="52" t="s">
        <v>28</v>
      </c>
      <c r="R2" s="44" t="s">
        <v>23</v>
      </c>
      <c r="S2" s="48" t="s">
        <v>24</v>
      </c>
      <c r="T2" s="48" t="s">
        <v>25</v>
      </c>
      <c r="U2" s="48" t="s">
        <v>26</v>
      </c>
      <c r="W2" s="43" t="s">
        <v>27</v>
      </c>
      <c r="X2" s="52" t="s">
        <v>28</v>
      </c>
      <c r="Y2" s="44" t="s">
        <v>23</v>
      </c>
      <c r="Z2" s="48" t="s">
        <v>24</v>
      </c>
      <c r="AA2" s="48" t="s">
        <v>25</v>
      </c>
      <c r="AB2" s="48" t="s">
        <v>26</v>
      </c>
      <c r="AC2" s="51"/>
    </row>
    <row r="3" spans="2:29">
      <c r="B3" s="49">
        <v>2.9381253181356444</v>
      </c>
      <c r="C3" s="14">
        <v>2.925980834204164</v>
      </c>
      <c r="D3" s="62">
        <v>0.41505685168930878</v>
      </c>
      <c r="E3" s="2">
        <v>618</v>
      </c>
      <c r="F3" s="2">
        <v>15.390600229337906</v>
      </c>
      <c r="G3">
        <v>15.5715</v>
      </c>
      <c r="I3" s="53">
        <v>2.2400528333111325</v>
      </c>
      <c r="J3" s="54">
        <v>2.2316024330458726</v>
      </c>
      <c r="K3" s="59">
        <v>0.37866961158157997</v>
      </c>
      <c r="L3" s="2">
        <v>621</v>
      </c>
      <c r="M3" s="2">
        <v>20.284800302267087</v>
      </c>
      <c r="N3">
        <v>20.471</v>
      </c>
      <c r="P3" s="65">
        <v>0.125</v>
      </c>
      <c r="Q3" s="66">
        <v>0.12570232277078763</v>
      </c>
      <c r="R3" s="67">
        <v>-0.55871900797591978</v>
      </c>
      <c r="S3" s="45">
        <v>1928</v>
      </c>
      <c r="T3" s="64">
        <v>69.409401034280563</v>
      </c>
      <c r="U3" s="26">
        <v>69.31</v>
      </c>
      <c r="W3" s="39">
        <v>4.2207800000000004</v>
      </c>
      <c r="X3" s="7">
        <v>4.2142008786251282</v>
      </c>
      <c r="Y3" s="40">
        <v>0.15611788721895684</v>
      </c>
      <c r="Z3" s="45">
        <v>19198</v>
      </c>
      <c r="AA3" s="64">
        <v>20.468000305001624</v>
      </c>
      <c r="AB3" s="26">
        <v>20.585000000000001</v>
      </c>
      <c r="AC3" s="7"/>
    </row>
    <row r="4" spans="2:29">
      <c r="B4" s="49">
        <v>2.9383950479994061</v>
      </c>
      <c r="C4" s="14">
        <v>2.9266537442486715</v>
      </c>
      <c r="D4" s="62">
        <v>0.40118527085098632</v>
      </c>
      <c r="E4" s="2">
        <v>626</v>
      </c>
      <c r="F4" s="2">
        <v>15.588400232285494</v>
      </c>
      <c r="G4">
        <v>15.568000000000001</v>
      </c>
      <c r="I4" s="55">
        <v>2.2399349297886761</v>
      </c>
      <c r="J4" s="56">
        <v>2.2317822042075437</v>
      </c>
      <c r="K4" s="60">
        <v>0.36530112865683056</v>
      </c>
      <c r="L4" s="2">
        <v>626</v>
      </c>
      <c r="M4" s="2">
        <v>20.44920030471684</v>
      </c>
      <c r="N4">
        <v>20.47</v>
      </c>
      <c r="P4" s="39">
        <v>0.12467</v>
      </c>
      <c r="Q4" s="7">
        <v>0.12570950879088974</v>
      </c>
      <c r="R4" s="40">
        <v>-0.82691341401937846</v>
      </c>
      <c r="S4" s="68">
        <v>1919</v>
      </c>
      <c r="T4" s="2">
        <v>69.268601032182687</v>
      </c>
      <c r="U4" s="28">
        <v>69.304000000000016</v>
      </c>
      <c r="W4" s="39">
        <v>4.2217700000000002</v>
      </c>
      <c r="X4" s="7">
        <v>4.2145047432464136</v>
      </c>
      <c r="Y4" s="40">
        <v>0.17238696350333912</v>
      </c>
      <c r="Z4" s="68">
        <v>19371</v>
      </c>
      <c r="AA4" s="2">
        <v>20.647600307667744</v>
      </c>
      <c r="AB4" s="28">
        <v>20.587500000000002</v>
      </c>
      <c r="AC4" s="7"/>
    </row>
    <row r="5" spans="2:29">
      <c r="B5" s="49">
        <v>2.9385646765717857</v>
      </c>
      <c r="C5" s="14">
        <v>2.9264605572487783</v>
      </c>
      <c r="D5" s="62">
        <v>0.41360951518809064</v>
      </c>
      <c r="E5" s="2">
        <v>625</v>
      </c>
      <c r="F5" s="2">
        <v>15.562600231901342</v>
      </c>
      <c r="G5">
        <v>15.569500000000001</v>
      </c>
      <c r="I5" s="55">
        <v>2.2401666643694251</v>
      </c>
      <c r="J5" s="56">
        <v>2.2323799815023686</v>
      </c>
      <c r="K5" s="60">
        <v>0.34880633814930423</v>
      </c>
      <c r="L5" s="2">
        <v>631</v>
      </c>
      <c r="M5" s="2">
        <v>20.61040030711888</v>
      </c>
      <c r="N5">
        <v>20.464499999999997</v>
      </c>
      <c r="P5" s="39">
        <v>0.12545000000000001</v>
      </c>
      <c r="Q5" s="7">
        <v>0.12571313666624087</v>
      </c>
      <c r="R5" s="40">
        <v>-0.20931517041013278</v>
      </c>
      <c r="S5" s="68">
        <v>1934</v>
      </c>
      <c r="T5" s="2">
        <v>69.377001033798024</v>
      </c>
      <c r="U5" s="28">
        <v>69.301999999999992</v>
      </c>
      <c r="W5" s="39">
        <v>4.2208899999999998</v>
      </c>
      <c r="X5" s="7">
        <v>4.2149051707877767</v>
      </c>
      <c r="Y5" s="40">
        <v>0.14199202519909879</v>
      </c>
      <c r="Z5" s="68">
        <v>19188</v>
      </c>
      <c r="AA5" s="2">
        <v>20.45680030483345</v>
      </c>
      <c r="AB5" s="28">
        <v>20.587999999999997</v>
      </c>
      <c r="AC5" s="7"/>
    </row>
    <row r="6" spans="2:29">
      <c r="B6" s="49">
        <v>2.9385835589150595</v>
      </c>
      <c r="C6" s="14">
        <v>2.926512513827451</v>
      </c>
      <c r="D6" s="62">
        <v>0.41247201338023037</v>
      </c>
      <c r="E6" s="2">
        <v>622</v>
      </c>
      <c r="F6" s="2">
        <v>15.487800230786888</v>
      </c>
      <c r="G6">
        <v>15.5695</v>
      </c>
      <c r="I6" s="55">
        <v>2.240815858585846</v>
      </c>
      <c r="J6" s="56">
        <v>2.2330767091264381</v>
      </c>
      <c r="K6" s="60">
        <v>0.34656890324360579</v>
      </c>
      <c r="L6" s="2">
        <v>623</v>
      </c>
      <c r="M6" s="2">
        <v>20.343200303137337</v>
      </c>
      <c r="N6">
        <v>20.458500000000001</v>
      </c>
      <c r="P6" s="39">
        <v>0.12508</v>
      </c>
      <c r="Q6" s="7">
        <v>0.12571313666624087</v>
      </c>
      <c r="R6" s="40">
        <v>-0.50363604236668258</v>
      </c>
      <c r="S6" s="68">
        <v>1926</v>
      </c>
      <c r="T6" s="2">
        <v>69.29000103250155</v>
      </c>
      <c r="U6" s="28">
        <v>69.301999999999992</v>
      </c>
      <c r="W6" s="39">
        <v>4.2218999999999998</v>
      </c>
      <c r="X6" s="7">
        <v>4.2152424424947217</v>
      </c>
      <c r="Y6" s="40">
        <v>0.15794008520510891</v>
      </c>
      <c r="Z6" s="68">
        <v>19356</v>
      </c>
      <c r="AA6" s="2">
        <v>20.631000307417708</v>
      </c>
      <c r="AB6" s="28">
        <v>20.5885</v>
      </c>
      <c r="AC6" s="7"/>
    </row>
    <row r="7" spans="2:29">
      <c r="B7" s="49">
        <v>2.9389251222890809</v>
      </c>
      <c r="C7" s="14">
        <v>2.9263091349630024</v>
      </c>
      <c r="D7" s="62">
        <v>0.43112284944010187</v>
      </c>
      <c r="E7" s="2">
        <v>622</v>
      </c>
      <c r="F7" s="2">
        <v>15.486000230758691</v>
      </c>
      <c r="G7">
        <v>15.57</v>
      </c>
      <c r="I7" s="55">
        <v>2.2403905697367645</v>
      </c>
      <c r="J7" s="56">
        <v>2.2325564131322202</v>
      </c>
      <c r="K7" s="60">
        <v>0.35090520259477864</v>
      </c>
      <c r="L7" s="2">
        <v>632</v>
      </c>
      <c r="M7" s="2">
        <v>20.64100030757487</v>
      </c>
      <c r="N7">
        <v>20.4635</v>
      </c>
      <c r="P7" s="39">
        <v>0.12537999999999999</v>
      </c>
      <c r="Q7" s="7">
        <v>0.12572771864527957</v>
      </c>
      <c r="R7" s="40">
        <v>-0.27656482518434028</v>
      </c>
      <c r="S7" s="68">
        <v>1929</v>
      </c>
      <c r="T7" s="2">
        <v>69.235801031693882</v>
      </c>
      <c r="U7" s="28">
        <v>69.295999999999992</v>
      </c>
      <c r="W7" s="39">
        <v>4.2212699999999996</v>
      </c>
      <c r="X7" s="7">
        <v>4.2155355826856837</v>
      </c>
      <c r="Y7" s="40">
        <v>0.13603057551853345</v>
      </c>
      <c r="Z7" s="68">
        <v>19361</v>
      </c>
      <c r="AA7" s="2">
        <v>20.639400307554752</v>
      </c>
      <c r="AB7" s="28">
        <v>20.5885</v>
      </c>
      <c r="AC7" s="7"/>
    </row>
    <row r="8" spans="2:29">
      <c r="B8" s="49">
        <v>2.2344410432615485</v>
      </c>
      <c r="C8" s="14">
        <v>2.2251611559605204</v>
      </c>
      <c r="D8" s="62">
        <v>0.41704338025900128</v>
      </c>
      <c r="E8" s="2">
        <v>635</v>
      </c>
      <c r="F8" s="2">
        <v>20.794200309856933</v>
      </c>
      <c r="G8">
        <v>20.706</v>
      </c>
      <c r="I8" s="55">
        <v>0.99997212985015205</v>
      </c>
      <c r="J8" s="56">
        <v>0.99643360114234225</v>
      </c>
      <c r="K8" s="60">
        <v>0.35511936808966676</v>
      </c>
      <c r="L8" s="2">
        <v>639</v>
      </c>
      <c r="M8" s="2">
        <v>46.757400696739523</v>
      </c>
      <c r="N8">
        <v>46.722999999999999</v>
      </c>
      <c r="P8" s="39">
        <v>0.34360000000000002</v>
      </c>
      <c r="Q8" s="7">
        <v>0.34621675359166149</v>
      </c>
      <c r="R8" s="40">
        <v>-0.75581368160702811</v>
      </c>
      <c r="S8" s="68">
        <v>3237</v>
      </c>
      <c r="T8" s="2">
        <v>42.393600631714435</v>
      </c>
      <c r="U8" s="28">
        <v>42.3825</v>
      </c>
      <c r="W8" s="39">
        <v>1.84182</v>
      </c>
      <c r="X8" s="7">
        <v>1.8455627584856771</v>
      </c>
      <c r="Y8" s="40">
        <v>-0.20279768154555081</v>
      </c>
      <c r="Z8" s="68">
        <v>19298</v>
      </c>
      <c r="AA8" s="2">
        <v>47.149600702585303</v>
      </c>
      <c r="AB8" s="28">
        <v>46.959500000000006</v>
      </c>
      <c r="AC8" s="7"/>
    </row>
    <row r="9" spans="2:29">
      <c r="B9" s="49">
        <v>2.2345211643220795</v>
      </c>
      <c r="C9" s="14">
        <v>2.2252499057017174</v>
      </c>
      <c r="D9" s="62">
        <v>0.41663898497901136</v>
      </c>
      <c r="E9" s="2">
        <v>636</v>
      </c>
      <c r="F9" s="2">
        <v>20.826200310334571</v>
      </c>
      <c r="G9">
        <v>20.704999999999998</v>
      </c>
      <c r="I9" s="55">
        <v>0.99982279602234458</v>
      </c>
      <c r="J9" s="56">
        <v>0.99631768700748757</v>
      </c>
      <c r="K9" s="60">
        <v>0.35180636262564602</v>
      </c>
      <c r="L9" s="2">
        <v>638</v>
      </c>
      <c r="M9" s="2">
        <v>46.691200695753082</v>
      </c>
      <c r="N9">
        <v>46.728999999999999</v>
      </c>
      <c r="P9" s="39">
        <v>0.34327999999999997</v>
      </c>
      <c r="Q9" s="7">
        <v>0.34623655603756176</v>
      </c>
      <c r="R9" s="40">
        <v>-0.85391215514546703</v>
      </c>
      <c r="S9" s="68">
        <v>3238</v>
      </c>
      <c r="T9" s="2">
        <v>42.447000632508207</v>
      </c>
      <c r="U9" s="28">
        <v>42.378</v>
      </c>
      <c r="W9" s="39">
        <v>1.8416399999999999</v>
      </c>
      <c r="X9" s="7">
        <v>1.8455038086307398</v>
      </c>
      <c r="Y9" s="40">
        <v>-0.20936335176715792</v>
      </c>
      <c r="Z9" s="68">
        <v>19188</v>
      </c>
      <c r="AA9" s="2">
        <v>46.88540069865121</v>
      </c>
      <c r="AB9" s="28">
        <v>46.960999999999999</v>
      </c>
      <c r="AC9" s="7"/>
    </row>
    <row r="10" spans="2:29">
      <c r="B10" s="49">
        <v>2.2345699967195358</v>
      </c>
      <c r="C10" s="14">
        <v>2.2252263054633752</v>
      </c>
      <c r="D10" s="62">
        <v>0.41989847204394481</v>
      </c>
      <c r="E10" s="2">
        <v>635</v>
      </c>
      <c r="F10" s="2">
        <v>20.793000309839044</v>
      </c>
      <c r="G10">
        <v>20.706</v>
      </c>
      <c r="I10" s="55">
        <v>0.99984382795638194</v>
      </c>
      <c r="J10" s="56">
        <v>0.99625932534887673</v>
      </c>
      <c r="K10" s="60">
        <v>0.3597961410549364</v>
      </c>
      <c r="L10" s="2">
        <v>639</v>
      </c>
      <c r="M10" s="2">
        <v>46.763400696828967</v>
      </c>
      <c r="N10">
        <v>46.731999999999999</v>
      </c>
      <c r="P10" s="39">
        <v>0.34355000000000002</v>
      </c>
      <c r="Q10" s="7">
        <v>0.34627741183677802</v>
      </c>
      <c r="R10" s="40">
        <v>-0.78763781394542454</v>
      </c>
      <c r="S10" s="68">
        <v>3235</v>
      </c>
      <c r="T10" s="2">
        <v>42.374200631424173</v>
      </c>
      <c r="U10" s="28">
        <v>42.372999999999998</v>
      </c>
      <c r="W10" s="39">
        <v>1.84108</v>
      </c>
      <c r="X10" s="7">
        <v>1.8455678846641383</v>
      </c>
      <c r="Y10" s="40">
        <v>-0.24317093407566609</v>
      </c>
      <c r="Z10" s="68">
        <v>19164</v>
      </c>
      <c r="AA10" s="2">
        <v>46.841000697997515</v>
      </c>
      <c r="AB10" s="28">
        <v>46.961000000000006</v>
      </c>
      <c r="AC10" s="7"/>
    </row>
    <row r="11" spans="2:29">
      <c r="B11" s="49">
        <v>2.2345446605428814</v>
      </c>
      <c r="C11" s="14">
        <v>2.2254312068397999</v>
      </c>
      <c r="D11" s="62">
        <v>0.40951406069401436</v>
      </c>
      <c r="E11" s="2">
        <v>632</v>
      </c>
      <c r="F11" s="2">
        <v>20.695000308380259</v>
      </c>
      <c r="G11">
        <v>20.703499999999998</v>
      </c>
      <c r="I11" s="55">
        <v>0.99991702437601926</v>
      </c>
      <c r="J11" s="56">
        <v>0.99632317969622464</v>
      </c>
      <c r="K11" s="60">
        <v>0.36071073653935992</v>
      </c>
      <c r="L11" s="2">
        <v>638</v>
      </c>
      <c r="M11" s="2">
        <v>46.68680069568768</v>
      </c>
      <c r="N11">
        <v>46.729500000000002</v>
      </c>
      <c r="P11" s="39">
        <v>0.34327999999999997</v>
      </c>
      <c r="Q11" s="7">
        <v>0.34630054251004905</v>
      </c>
      <c r="R11" s="40">
        <v>-0.87223152703014384</v>
      </c>
      <c r="S11" s="68">
        <v>3233</v>
      </c>
      <c r="T11" s="2">
        <v>42.381400631531505</v>
      </c>
      <c r="U11" s="28">
        <v>42.371000000000002</v>
      </c>
      <c r="W11" s="39">
        <v>1.84226</v>
      </c>
      <c r="X11" s="7">
        <v>1.8452563686598398</v>
      </c>
      <c r="Y11" s="40">
        <v>-0.16238224187872322</v>
      </c>
      <c r="Z11" s="68">
        <v>19218</v>
      </c>
      <c r="AA11" s="2">
        <v>46.942800699500367</v>
      </c>
      <c r="AB11" s="28">
        <v>46.968000000000004</v>
      </c>
      <c r="AC11" s="7"/>
    </row>
    <row r="12" spans="2:29">
      <c r="B12" s="49">
        <v>2.2345781847430586</v>
      </c>
      <c r="C12" s="14">
        <v>2.2252816050569275</v>
      </c>
      <c r="D12" s="62">
        <v>0.41777093132863247</v>
      </c>
      <c r="E12" s="2">
        <v>630</v>
      </c>
      <c r="F12" s="2">
        <v>20.629200307399515</v>
      </c>
      <c r="G12">
        <v>20.704999999999998</v>
      </c>
      <c r="I12" s="55">
        <v>1.0000027019295852</v>
      </c>
      <c r="J12" s="56">
        <v>0.99637509219273246</v>
      </c>
      <c r="K12" s="60">
        <v>0.36408073277598751</v>
      </c>
      <c r="L12" s="2">
        <v>638</v>
      </c>
      <c r="M12" s="2">
        <v>46.682800695627975</v>
      </c>
      <c r="N12">
        <v>46.727499999999999</v>
      </c>
      <c r="P12" s="39">
        <v>0.34379999999999999</v>
      </c>
      <c r="Q12" s="7">
        <v>0.34632028238006696</v>
      </c>
      <c r="R12" s="40">
        <v>-0.72773167160365593</v>
      </c>
      <c r="S12" s="68">
        <v>3240</v>
      </c>
      <c r="T12" s="2">
        <v>42.408400631933546</v>
      </c>
      <c r="U12" s="28">
        <v>42.369</v>
      </c>
      <c r="W12" s="39">
        <v>1.8420700000000001</v>
      </c>
      <c r="X12" s="7">
        <v>1.8455439791994466</v>
      </c>
      <c r="Y12" s="40">
        <v>-0.18823605606805455</v>
      </c>
      <c r="Z12" s="68">
        <v>19217</v>
      </c>
      <c r="AA12" s="2">
        <v>46.945400699536549</v>
      </c>
      <c r="AB12" s="28">
        <v>46.963000000000001</v>
      </c>
      <c r="AC12" s="7"/>
    </row>
    <row r="13" spans="2:29">
      <c r="B13" s="49">
        <v>1.0128191256411112</v>
      </c>
      <c r="C13" s="14">
        <v>1.0091754582968151</v>
      </c>
      <c r="D13" s="62">
        <v>0.3610538994324658</v>
      </c>
      <c r="E13" s="2">
        <v>641</v>
      </c>
      <c r="F13" s="2">
        <v>46.30880069005525</v>
      </c>
      <c r="G13">
        <v>46.228499999999997</v>
      </c>
      <c r="I13" s="55">
        <v>0.60516901554101232</v>
      </c>
      <c r="J13" s="56">
        <v>0.60311915077379152</v>
      </c>
      <c r="K13" s="60">
        <v>0.33987724723893414</v>
      </c>
      <c r="L13" s="2">
        <v>522</v>
      </c>
      <c r="M13" s="2">
        <v>63.114800940483747</v>
      </c>
      <c r="N13">
        <v>63.090499999999999</v>
      </c>
      <c r="P13" s="39">
        <v>0.74666999999999994</v>
      </c>
      <c r="Q13" s="7">
        <v>0.74721624388789676</v>
      </c>
      <c r="R13" s="40">
        <v>-7.3103856127994624E-2</v>
      </c>
      <c r="S13" s="68">
        <v>4998</v>
      </c>
      <c r="T13" s="2">
        <v>30.121800448849172</v>
      </c>
      <c r="U13" s="28">
        <v>30.142499999999998</v>
      </c>
      <c r="W13" s="39">
        <v>1.18024</v>
      </c>
      <c r="X13" s="7">
        <v>1.1901881517037156</v>
      </c>
      <c r="Y13" s="40">
        <v>-0.83584697843573741</v>
      </c>
      <c r="Z13" s="68">
        <v>7794</v>
      </c>
      <c r="AA13" s="2">
        <v>29.716800442809472</v>
      </c>
      <c r="AB13" s="28">
        <v>29.769000000000002</v>
      </c>
      <c r="AC13" s="7"/>
    </row>
    <row r="14" spans="2:29">
      <c r="B14" s="49">
        <v>1.0129057763325668</v>
      </c>
      <c r="C14" s="14">
        <v>1.0093008808751966</v>
      </c>
      <c r="D14" s="62">
        <v>0.35716757269093785</v>
      </c>
      <c r="E14" s="2">
        <v>640</v>
      </c>
      <c r="F14" s="2">
        <v>46.232600688918865</v>
      </c>
      <c r="G14">
        <v>46.222499999999997</v>
      </c>
      <c r="I14" s="55">
        <v>0.60526788960064004</v>
      </c>
      <c r="J14" s="56">
        <v>0.60322397354676682</v>
      </c>
      <c r="K14" s="60">
        <v>0.33883203312620946</v>
      </c>
      <c r="L14" s="2">
        <v>521</v>
      </c>
      <c r="M14" s="2">
        <v>62.983600938528753</v>
      </c>
      <c r="N14">
        <v>63.080000000000005</v>
      </c>
      <c r="P14" s="39">
        <v>0.74753999999999998</v>
      </c>
      <c r="Q14" s="7">
        <v>0.74734021174254439</v>
      </c>
      <c r="R14" s="40">
        <v>2.673324067358189E-2</v>
      </c>
      <c r="S14" s="68">
        <v>5007</v>
      </c>
      <c r="T14" s="2">
        <v>30.14100044913539</v>
      </c>
      <c r="U14" s="28">
        <v>30.137499999999999</v>
      </c>
      <c r="W14" s="39">
        <v>1.18</v>
      </c>
      <c r="X14" s="7">
        <v>1.1899447878435152</v>
      </c>
      <c r="Y14" s="40">
        <v>-0.83573523285376727</v>
      </c>
      <c r="Z14" s="68">
        <v>7800</v>
      </c>
      <c r="AA14" s="2">
        <v>29.745800443255575</v>
      </c>
      <c r="AB14" s="28">
        <v>29.774499999999996</v>
      </c>
      <c r="AC14" s="7"/>
    </row>
    <row r="15" spans="2:29">
      <c r="B15" s="49">
        <v>1.013022779293749</v>
      </c>
      <c r="C15" s="14">
        <v>1.0094984268189056</v>
      </c>
      <c r="D15" s="62">
        <v>0.34911916464785442</v>
      </c>
      <c r="E15" s="2">
        <v>638</v>
      </c>
      <c r="F15" s="2">
        <v>46.082800686687733</v>
      </c>
      <c r="G15">
        <v>46.216499999999996</v>
      </c>
      <c r="I15" s="55">
        <v>0.6053512497197574</v>
      </c>
      <c r="J15" s="56">
        <v>0.60325967992345142</v>
      </c>
      <c r="K15" s="60">
        <v>0.34671135265850744</v>
      </c>
      <c r="L15" s="2">
        <v>522</v>
      </c>
      <c r="M15" s="2">
        <v>63.095800940200661</v>
      </c>
      <c r="N15">
        <v>63.076499999999996</v>
      </c>
      <c r="P15" s="39">
        <v>0.74751000000000001</v>
      </c>
      <c r="Q15" s="7">
        <v>0.74729049411663206</v>
      </c>
      <c r="R15" s="40">
        <v>2.9373568257069799E-2</v>
      </c>
      <c r="S15" s="68">
        <v>5005</v>
      </c>
      <c r="T15" s="2">
        <v>30.130000448973078</v>
      </c>
      <c r="U15" s="28">
        <v>30.137</v>
      </c>
      <c r="W15" s="39">
        <v>1.1797800000000001</v>
      </c>
      <c r="X15" s="7">
        <v>1.1899234759460862</v>
      </c>
      <c r="Y15" s="40">
        <v>-0.85244775408949891</v>
      </c>
      <c r="Z15" s="68">
        <v>7840</v>
      </c>
      <c r="AA15" s="2">
        <v>29.903800445594243</v>
      </c>
      <c r="AB15" s="28">
        <v>29.773999999999997</v>
      </c>
      <c r="AC15" s="7"/>
    </row>
    <row r="16" spans="2:29">
      <c r="B16" s="49">
        <v>1.0130865809791634</v>
      </c>
      <c r="C16" s="14">
        <v>1.0095578276394725</v>
      </c>
      <c r="D16" s="62">
        <v>0.34953454305254467</v>
      </c>
      <c r="E16" s="2">
        <v>642</v>
      </c>
      <c r="F16" s="2">
        <v>46.368800690948774</v>
      </c>
      <c r="G16">
        <v>46.212000000000003</v>
      </c>
      <c r="I16" s="55">
        <v>0.60542033556090791</v>
      </c>
      <c r="J16" s="56">
        <v>0.60338716217117461</v>
      </c>
      <c r="K16" s="60">
        <v>0.33696000133932424</v>
      </c>
      <c r="L16" s="2">
        <v>522</v>
      </c>
      <c r="M16" s="2">
        <v>63.088600940093329</v>
      </c>
      <c r="N16">
        <v>63.063499999999991</v>
      </c>
      <c r="P16" s="39">
        <v>0.74711000000000005</v>
      </c>
      <c r="Q16" s="7">
        <v>0.74736489086058755</v>
      </c>
      <c r="R16" s="40">
        <v>-3.4105276245180852E-2</v>
      </c>
      <c r="S16" s="68">
        <v>4995</v>
      </c>
      <c r="T16" s="2">
        <v>30.086000448316554</v>
      </c>
      <c r="U16" s="28">
        <v>30.134</v>
      </c>
      <c r="W16" s="39">
        <v>1.1800299999999999</v>
      </c>
      <c r="X16" s="7">
        <v>1.1898647017270449</v>
      </c>
      <c r="Y16" s="40">
        <v>-0.82653949753869727</v>
      </c>
      <c r="Z16" s="68">
        <v>7807</v>
      </c>
      <c r="AA16" s="2">
        <v>29.771600443636999</v>
      </c>
      <c r="AB16" s="28">
        <v>29.773999999999997</v>
      </c>
      <c r="AC16" s="7"/>
    </row>
    <row r="17" spans="2:29">
      <c r="B17" s="49">
        <v>1.0131643674465183</v>
      </c>
      <c r="C17" s="14">
        <v>1.0097320647718357</v>
      </c>
      <c r="D17" s="62">
        <v>0.33992212334646532</v>
      </c>
      <c r="E17" s="2">
        <v>640</v>
      </c>
      <c r="F17" s="2">
        <v>46.220800688744021</v>
      </c>
      <c r="G17">
        <v>46.204000000000001</v>
      </c>
      <c r="I17" s="55">
        <v>0.60541265857763649</v>
      </c>
      <c r="J17" s="56">
        <v>0.60336179657583866</v>
      </c>
      <c r="K17" s="60">
        <v>0.33990584313371364</v>
      </c>
      <c r="L17" s="2">
        <v>522</v>
      </c>
      <c r="M17" s="2">
        <v>63.089400940105179</v>
      </c>
      <c r="N17">
        <v>63.067</v>
      </c>
      <c r="P17" s="39">
        <v>0.74677000000000004</v>
      </c>
      <c r="Q17" s="7">
        <v>0.74744884744044238</v>
      </c>
      <c r="R17" s="40">
        <v>-9.0821926178222254E-2</v>
      </c>
      <c r="S17" s="68">
        <v>5002</v>
      </c>
      <c r="T17" s="2">
        <v>30.141800449147922</v>
      </c>
      <c r="U17" s="28">
        <v>30.131499999999999</v>
      </c>
      <c r="W17" s="39">
        <v>1.18109</v>
      </c>
      <c r="X17" s="7">
        <v>1.1897634721554207</v>
      </c>
      <c r="Y17" s="40">
        <v>-0.72900810609923161</v>
      </c>
      <c r="Z17" s="68">
        <v>7815</v>
      </c>
      <c r="AA17" s="2">
        <v>29.775400443686522</v>
      </c>
      <c r="AB17" s="28">
        <v>29.775500000000001</v>
      </c>
      <c r="AC17" s="7"/>
    </row>
    <row r="18" spans="2:29">
      <c r="B18" s="49">
        <v>0.60320883136959114</v>
      </c>
      <c r="C18" s="14">
        <v>0.60144314970841961</v>
      </c>
      <c r="D18" s="62">
        <v>0.2935741577616322</v>
      </c>
      <c r="E18" s="2">
        <v>523</v>
      </c>
      <c r="F18" s="2">
        <v>63.441200945348101</v>
      </c>
      <c r="G18">
        <v>63.334499999999998</v>
      </c>
      <c r="I18" s="55">
        <v>0.2985690987588045</v>
      </c>
      <c r="J18" s="56">
        <v>0.29818183003741183</v>
      </c>
      <c r="K18" s="60">
        <v>0.12987670018125341</v>
      </c>
      <c r="L18" s="2">
        <v>171</v>
      </c>
      <c r="M18" s="2">
        <v>41.907200624465986</v>
      </c>
      <c r="N18">
        <v>41.844500000000004</v>
      </c>
      <c r="P18" s="39">
        <v>1.2476400000000001</v>
      </c>
      <c r="Q18" s="7">
        <v>1.2457895198295348</v>
      </c>
      <c r="R18" s="40">
        <v>0.14853874920367793</v>
      </c>
      <c r="S18" s="68">
        <v>9989</v>
      </c>
      <c r="T18" s="2">
        <v>36.028400536866684</v>
      </c>
      <c r="U18" s="28">
        <v>36.0075</v>
      </c>
      <c r="W18" s="39">
        <v>0.54737000000000002</v>
      </c>
      <c r="X18" s="7">
        <v>0.54894415423967369</v>
      </c>
      <c r="Y18" s="40">
        <v>-0.28676036123455556</v>
      </c>
      <c r="Z18" s="68">
        <v>5114</v>
      </c>
      <c r="AA18" s="2">
        <v>42.043200626489124</v>
      </c>
      <c r="AB18" s="28">
        <v>42.034000000000006</v>
      </c>
      <c r="AC18" s="7"/>
    </row>
    <row r="19" spans="2:29">
      <c r="B19" s="49">
        <v>0.6031868978346937</v>
      </c>
      <c r="C19" s="14">
        <v>0.60126921362238339</v>
      </c>
      <c r="D19" s="62">
        <v>0.31893936507360898</v>
      </c>
      <c r="E19" s="2">
        <v>522</v>
      </c>
      <c r="F19" s="2">
        <v>63.322200943573989</v>
      </c>
      <c r="G19">
        <v>63.350500000000004</v>
      </c>
      <c r="I19" s="55">
        <v>0.29863750991715493</v>
      </c>
      <c r="J19" s="56">
        <v>0.29827990181507619</v>
      </c>
      <c r="K19" s="60">
        <v>0.11989010989431295</v>
      </c>
      <c r="L19" s="2">
        <v>171</v>
      </c>
      <c r="M19" s="2">
        <v>41.897600624322877</v>
      </c>
      <c r="N19">
        <v>41.831000000000003</v>
      </c>
      <c r="P19" s="39">
        <v>1.2468600000000001</v>
      </c>
      <c r="Q19" s="7">
        <v>1.2458850909607919</v>
      </c>
      <c r="R19" s="40">
        <v>7.8250317487653515E-2</v>
      </c>
      <c r="S19" s="68">
        <v>9990</v>
      </c>
      <c r="T19" s="2">
        <v>36.054600537256192</v>
      </c>
      <c r="U19" s="28">
        <v>36.006500000000003</v>
      </c>
      <c r="W19" s="39">
        <v>0.54737999999999998</v>
      </c>
      <c r="X19" s="7">
        <v>0.54909603977028087</v>
      </c>
      <c r="Y19" s="40">
        <v>-0.31252087904309367</v>
      </c>
      <c r="Z19" s="68">
        <v>5115</v>
      </c>
      <c r="AA19" s="2">
        <v>42.050600626607775</v>
      </c>
      <c r="AB19" s="28">
        <v>42.023000000000003</v>
      </c>
      <c r="AC19" s="7"/>
    </row>
    <row r="20" spans="2:29">
      <c r="B20" s="49">
        <v>0.60310996275404649</v>
      </c>
      <c r="C20" s="14">
        <v>0.60123333238587218</v>
      </c>
      <c r="D20" s="62">
        <v>0.31213012770387977</v>
      </c>
      <c r="E20" s="2">
        <v>523</v>
      </c>
      <c r="F20" s="2">
        <v>63.451600945502832</v>
      </c>
      <c r="G20">
        <v>63.356500000000004</v>
      </c>
      <c r="I20" s="55">
        <v>0.29862610588042654</v>
      </c>
      <c r="J20" s="56">
        <v>0.29826814439453575</v>
      </c>
      <c r="K20" s="60">
        <v>0.12001331440118339</v>
      </c>
      <c r="L20" s="2">
        <v>171</v>
      </c>
      <c r="M20" s="2">
        <v>41.899200624346122</v>
      </c>
      <c r="N20">
        <v>41.831499999999998</v>
      </c>
      <c r="P20" s="39">
        <v>1.2471099999999999</v>
      </c>
      <c r="Q20" s="7">
        <v>1.2461528271806863</v>
      </c>
      <c r="R20" s="40">
        <v>7.6810227320122867E-2</v>
      </c>
      <c r="S20" s="68">
        <v>9979</v>
      </c>
      <c r="T20" s="2">
        <v>36.007600536555401</v>
      </c>
      <c r="U20" s="28">
        <v>36</v>
      </c>
      <c r="W20" s="39">
        <v>0.54700000000000004</v>
      </c>
      <c r="X20" s="7">
        <v>0.54910910664096202</v>
      </c>
      <c r="Y20" s="40">
        <v>-0.38409609592234067</v>
      </c>
      <c r="Z20" s="68">
        <v>5100</v>
      </c>
      <c r="AA20" s="2">
        <v>41.955800625190022</v>
      </c>
      <c r="AB20" s="28">
        <v>42.022000000000006</v>
      </c>
      <c r="AC20" s="7"/>
    </row>
    <row r="21" spans="2:29">
      <c r="B21" s="49">
        <v>0.60310806175215048</v>
      </c>
      <c r="C21" s="14">
        <v>0.6013406938669712</v>
      </c>
      <c r="D21" s="62">
        <v>0.29390458740021019</v>
      </c>
      <c r="E21" s="2">
        <v>523</v>
      </c>
      <c r="F21" s="2">
        <v>63.451800945505056</v>
      </c>
      <c r="G21">
        <v>63.344999999999999</v>
      </c>
      <c r="I21" s="55">
        <v>0.29871485394215042</v>
      </c>
      <c r="J21" s="56">
        <v>0.29831949690200132</v>
      </c>
      <c r="K21" s="60">
        <v>0.13252805943118331</v>
      </c>
      <c r="L21" s="2">
        <v>170</v>
      </c>
      <c r="M21" s="2">
        <v>41.641800620510367</v>
      </c>
      <c r="N21">
        <v>41.8245</v>
      </c>
      <c r="P21" s="39">
        <v>1.2473000000000001</v>
      </c>
      <c r="Q21" s="7">
        <v>1.2461610773168275</v>
      </c>
      <c r="R21" s="40">
        <v>9.1394499788493497E-2</v>
      </c>
      <c r="S21" s="68">
        <v>9967</v>
      </c>
      <c r="T21" s="2">
        <v>35.959000535831365</v>
      </c>
      <c r="U21" s="28">
        <v>35.997999999999998</v>
      </c>
      <c r="W21" s="39">
        <v>0.54757</v>
      </c>
      <c r="X21" s="7">
        <v>0.54909879352541591</v>
      </c>
      <c r="Y21" s="40">
        <v>-0.2784186640805546</v>
      </c>
      <c r="Z21" s="68">
        <v>5121</v>
      </c>
      <c r="AA21" s="2">
        <v>42.08500062712119</v>
      </c>
      <c r="AB21" s="28">
        <v>42.020499999999998</v>
      </c>
      <c r="AC21" s="7"/>
    </row>
    <row r="22" spans="2:29">
      <c r="B22" s="49">
        <v>0.60312403491093702</v>
      </c>
      <c r="C22" s="14">
        <v>0.60127245270115404</v>
      </c>
      <c r="D22" s="62">
        <v>0.30794396142130681</v>
      </c>
      <c r="E22" s="2">
        <v>522</v>
      </c>
      <c r="F22" s="2">
        <v>63.328800943672832</v>
      </c>
      <c r="G22">
        <v>63.351999999999997</v>
      </c>
      <c r="I22" s="55">
        <v>0.29876443859581414</v>
      </c>
      <c r="J22" s="56">
        <v>0.29834308265982351</v>
      </c>
      <c r="K22" s="60">
        <v>0.14123201122483159</v>
      </c>
      <c r="L22" s="2">
        <v>171</v>
      </c>
      <c r="M22" s="2">
        <v>41.87980062405768</v>
      </c>
      <c r="N22">
        <v>41.8215</v>
      </c>
      <c r="P22" s="39">
        <v>1.2484900000000001</v>
      </c>
      <c r="Q22" s="7">
        <v>1.2462495979219415</v>
      </c>
      <c r="R22" s="40">
        <v>0.17977153868650414</v>
      </c>
      <c r="S22" s="68">
        <v>10020</v>
      </c>
      <c r="T22" s="2">
        <v>36.115600538163562</v>
      </c>
      <c r="U22" s="28">
        <v>35.996500000000005</v>
      </c>
      <c r="W22" s="39">
        <v>0.5474</v>
      </c>
      <c r="X22" s="7">
        <v>0.54919626558002699</v>
      </c>
      <c r="Y22" s="40">
        <v>-0.32707170325163915</v>
      </c>
      <c r="Z22" s="68">
        <v>5117</v>
      </c>
      <c r="AA22" s="2">
        <v>42.065200626821024</v>
      </c>
      <c r="AB22" s="28">
        <v>42.014499999999998</v>
      </c>
      <c r="AC22" s="7"/>
    </row>
    <row r="23" spans="2:29">
      <c r="B23" s="49">
        <v>0.30081441096649797</v>
      </c>
      <c r="C23" s="14">
        <v>0.30044505297651947</v>
      </c>
      <c r="D23" s="62">
        <v>0.12293695180508396</v>
      </c>
      <c r="E23" s="2">
        <v>523</v>
      </c>
      <c r="F23" s="2">
        <v>63.441200945348101</v>
      </c>
      <c r="G23">
        <v>41.557499999999997</v>
      </c>
      <c r="I23" s="55">
        <v>0.100040932750287</v>
      </c>
      <c r="J23" s="56">
        <v>0.10075708790380981</v>
      </c>
      <c r="K23" s="60">
        <v>-0.71077396977422602</v>
      </c>
      <c r="L23" s="2">
        <v>101</v>
      </c>
      <c r="M23" s="2">
        <v>73.872201100782149</v>
      </c>
      <c r="N23">
        <v>73.596000000000004</v>
      </c>
      <c r="P23" s="39">
        <v>2.5706500000000001</v>
      </c>
      <c r="Q23" s="7">
        <v>2.5639604425851998</v>
      </c>
      <c r="R23" s="40">
        <v>0.26090720058283307</v>
      </c>
      <c r="S23" s="68">
        <v>12291</v>
      </c>
      <c r="T23" s="2">
        <v>21.515800320610651</v>
      </c>
      <c r="U23" s="28">
        <v>21.478999999999999</v>
      </c>
      <c r="W23" s="39">
        <v>0.19225999999999999</v>
      </c>
      <c r="X23" s="7">
        <v>0.19159828984605418</v>
      </c>
      <c r="Y23" s="40">
        <v>0.34536328819922285</v>
      </c>
      <c r="Z23" s="68">
        <v>3057</v>
      </c>
      <c r="AA23" s="2">
        <v>71.551401066186372</v>
      </c>
      <c r="AB23" s="28">
        <v>71.538499999999999</v>
      </c>
      <c r="AC23" s="7"/>
    </row>
    <row r="24" spans="2:29">
      <c r="B24" s="49">
        <v>0.3008578097619749</v>
      </c>
      <c r="C24" s="14">
        <v>0.30039081822495595</v>
      </c>
      <c r="D24" s="62">
        <v>0.15546132194667731</v>
      </c>
      <c r="E24" s="2">
        <v>522</v>
      </c>
      <c r="F24" s="2">
        <v>63.322200943573989</v>
      </c>
      <c r="G24">
        <v>41.563499999999998</v>
      </c>
      <c r="I24" s="55">
        <v>0.10003741184159992</v>
      </c>
      <c r="J24" s="56">
        <v>0.10076321458341791</v>
      </c>
      <c r="K24" s="60">
        <v>-0.72030526697531061</v>
      </c>
      <c r="L24" s="2">
        <v>101</v>
      </c>
      <c r="M24" s="2">
        <v>73.87480110082015</v>
      </c>
      <c r="N24">
        <v>73.587999999999994</v>
      </c>
      <c r="P24" s="39">
        <v>2.5721400000000001</v>
      </c>
      <c r="Q24" s="7">
        <v>2.5643939085152203</v>
      </c>
      <c r="R24" s="40">
        <v>0.30206324617518515</v>
      </c>
      <c r="S24" s="68">
        <v>12297</v>
      </c>
      <c r="T24" s="2">
        <v>21.513800320579321</v>
      </c>
      <c r="U24" s="28">
        <v>21.475999999999999</v>
      </c>
      <c r="W24" s="39">
        <v>0.19205</v>
      </c>
      <c r="X24" s="7">
        <v>0.19162775517321237</v>
      </c>
      <c r="Y24" s="40">
        <v>0.22034638270743162</v>
      </c>
      <c r="Z24" s="68">
        <v>3054</v>
      </c>
      <c r="AA24" s="2">
        <v>71.559801066323416</v>
      </c>
      <c r="AB24" s="28">
        <v>71.527500000000003</v>
      </c>
      <c r="AC24" s="7"/>
    </row>
    <row r="25" spans="2:29">
      <c r="B25" s="49">
        <v>0.30081701454114768</v>
      </c>
      <c r="C25" s="14">
        <v>0.30040526970778103</v>
      </c>
      <c r="D25" s="62">
        <v>0.13706311935445392</v>
      </c>
      <c r="E25" s="2">
        <v>523</v>
      </c>
      <c r="F25" s="2">
        <v>63.451600945502832</v>
      </c>
      <c r="G25">
        <v>41.561499999999995</v>
      </c>
      <c r="I25" s="55">
        <v>9.988387351853141E-2</v>
      </c>
      <c r="J25" s="56">
        <v>0.10077971276160788</v>
      </c>
      <c r="K25" s="60">
        <v>-0.88890831153245942</v>
      </c>
      <c r="L25" s="2">
        <v>100</v>
      </c>
      <c r="M25" s="2">
        <v>73.255801091596368</v>
      </c>
      <c r="N25">
        <v>73.5745</v>
      </c>
      <c r="P25" s="39">
        <v>2.57416</v>
      </c>
      <c r="Q25" s="7">
        <v>2.5640357362667192</v>
      </c>
      <c r="R25" s="40">
        <v>0.39485657668804164</v>
      </c>
      <c r="S25" s="68">
        <v>12296</v>
      </c>
      <c r="T25" s="2">
        <v>21.495200320303411</v>
      </c>
      <c r="U25" s="28">
        <v>21.478999999999999</v>
      </c>
      <c r="W25" s="39">
        <v>0.19233</v>
      </c>
      <c r="X25" s="7">
        <v>0.19164494203666765</v>
      </c>
      <c r="Y25" s="40">
        <v>0.35746206294412625</v>
      </c>
      <c r="Z25" s="68">
        <v>3058</v>
      </c>
      <c r="AA25" s="2">
        <v>71.548401066160295</v>
      </c>
      <c r="AB25" s="28">
        <v>71.522499999999994</v>
      </c>
      <c r="AC25" s="7"/>
    </row>
    <row r="26" spans="2:29">
      <c r="B26" s="49">
        <v>0.30084320594593639</v>
      </c>
      <c r="C26" s="14">
        <v>0.30046277841698715</v>
      </c>
      <c r="D26" s="62">
        <v>0.12661386244031556</v>
      </c>
      <c r="E26" s="2">
        <v>523</v>
      </c>
      <c r="F26" s="2">
        <v>63.451800945505056</v>
      </c>
      <c r="G26">
        <v>41.555</v>
      </c>
      <c r="I26" s="55">
        <v>0.10002739215014991</v>
      </c>
      <c r="J26" s="56">
        <v>0.10079166190104225</v>
      </c>
      <c r="K26" s="60">
        <v>-0.75826684120229726</v>
      </c>
      <c r="L26" s="2">
        <v>101</v>
      </c>
      <c r="M26" s="2">
        <v>73.882201100930615</v>
      </c>
      <c r="N26">
        <v>73.5625</v>
      </c>
      <c r="P26" s="39">
        <v>2.57212</v>
      </c>
      <c r="Q26" s="7">
        <v>2.5644758616725678</v>
      </c>
      <c r="R26" s="40">
        <v>0.29807799877073526</v>
      </c>
      <c r="S26" s="68">
        <v>12245</v>
      </c>
      <c r="T26" s="2">
        <v>21.423000319227867</v>
      </c>
      <c r="U26" s="28">
        <v>21.475000000000001</v>
      </c>
      <c r="W26" s="39">
        <v>0.19238</v>
      </c>
      <c r="X26" s="7">
        <v>0.19165053004309274</v>
      </c>
      <c r="Y26" s="40">
        <v>0.38062506623030812</v>
      </c>
      <c r="Z26" s="68">
        <v>3056</v>
      </c>
      <c r="AA26" s="2">
        <v>71.483601065192488</v>
      </c>
      <c r="AB26" s="28">
        <v>71.518999999999991</v>
      </c>
      <c r="AC26" s="7"/>
    </row>
    <row r="27" spans="2:29">
      <c r="B27" s="49">
        <v>0.30077102468978406</v>
      </c>
      <c r="C27" s="14">
        <v>0.30040779489381048</v>
      </c>
      <c r="D27" s="62">
        <v>0.12091224067670463</v>
      </c>
      <c r="E27" s="2">
        <v>522</v>
      </c>
      <c r="F27" s="2">
        <v>63.328800943672832</v>
      </c>
      <c r="G27">
        <v>41.5625</v>
      </c>
      <c r="I27" s="57">
        <v>0.10002495523138773</v>
      </c>
      <c r="J27" s="58">
        <v>0.10080372797840909</v>
      </c>
      <c r="K27" s="61">
        <v>-0.77256343851505371</v>
      </c>
      <c r="L27" s="2">
        <v>101</v>
      </c>
      <c r="M27" s="2">
        <v>73.884001100956993</v>
      </c>
      <c r="N27">
        <v>73.552499999999995</v>
      </c>
      <c r="P27" s="39">
        <v>2.5737199999999998</v>
      </c>
      <c r="Q27" s="7">
        <v>2.5643754548389008</v>
      </c>
      <c r="R27" s="40">
        <v>0.36439847930481745</v>
      </c>
      <c r="S27" s="68">
        <v>12239</v>
      </c>
      <c r="T27" s="2">
        <v>21.399200318872317</v>
      </c>
      <c r="U27" s="28">
        <v>21.475000000000001</v>
      </c>
      <c r="W27" s="41">
        <v>0.19222</v>
      </c>
      <c r="X27" s="20">
        <v>0.19166147859556704</v>
      </c>
      <c r="Y27" s="42">
        <v>0.29141035983110886</v>
      </c>
      <c r="Z27" s="22">
        <v>3048</v>
      </c>
      <c r="AA27" s="69">
        <v>71.357401063316502</v>
      </c>
      <c r="AB27" s="32">
        <v>71.513499999999993</v>
      </c>
      <c r="AC27" s="7"/>
    </row>
    <row r="28" spans="2:29">
      <c r="B28" s="49">
        <v>0.10046306360523706</v>
      </c>
      <c r="C28" s="14">
        <v>0.10099936125253693</v>
      </c>
      <c r="D28" s="62">
        <v>-0.53099112771507806</v>
      </c>
      <c r="E28" s="2">
        <v>171</v>
      </c>
      <c r="F28" s="2">
        <v>41.594400619805128</v>
      </c>
      <c r="G28">
        <v>73.478500000000011</v>
      </c>
      <c r="L28" s="2"/>
      <c r="M28" s="2"/>
      <c r="P28" s="49">
        <v>3.5115699999999999</v>
      </c>
      <c r="Q28" s="7">
        <v>3.4968900880784073</v>
      </c>
      <c r="R28" s="40">
        <v>0.41979906579389797</v>
      </c>
      <c r="S28" s="68">
        <v>12247</v>
      </c>
      <c r="T28" s="2">
        <v>15.69420023386192</v>
      </c>
      <c r="U28" s="28">
        <v>15.750499999999999</v>
      </c>
      <c r="Z28" s="2"/>
      <c r="AA28" s="2"/>
    </row>
    <row r="29" spans="2:29">
      <c r="B29" s="49">
        <v>0.10036973676990932</v>
      </c>
      <c r="C29" s="14">
        <v>0.10099659159894264</v>
      </c>
      <c r="D29" s="62">
        <v>-0.62066929102178425</v>
      </c>
      <c r="E29" s="2">
        <v>171</v>
      </c>
      <c r="F29" s="2">
        <v>41.588400619715685</v>
      </c>
      <c r="G29">
        <v>73.48</v>
      </c>
      <c r="L29" s="2"/>
      <c r="M29" s="2"/>
      <c r="P29" s="49">
        <v>3.5115699999999999</v>
      </c>
      <c r="Q29" s="7">
        <v>3.4962410571080103</v>
      </c>
      <c r="R29" s="40">
        <v>0.43844067504513734</v>
      </c>
      <c r="S29" s="68">
        <v>12271</v>
      </c>
      <c r="T29" s="2">
        <v>15.72500023432076</v>
      </c>
      <c r="U29" s="28">
        <v>15.7515</v>
      </c>
      <c r="Z29" s="2"/>
      <c r="AA29" s="2"/>
    </row>
    <row r="30" spans="2:29">
      <c r="B30" s="49">
        <v>0.10045978604152191</v>
      </c>
      <c r="C30" s="14">
        <v>0.10103161227577885</v>
      </c>
      <c r="D30" s="62">
        <v>-0.56598743836342136</v>
      </c>
      <c r="E30" s="2">
        <v>170</v>
      </c>
      <c r="F30" s="2">
        <v>41.350800616174638</v>
      </c>
      <c r="G30">
        <v>73.454499999999996</v>
      </c>
      <c r="L30" s="2"/>
      <c r="M30" s="2"/>
      <c r="P30" s="49">
        <v>3.5135200000000002</v>
      </c>
      <c r="Q30" s="7">
        <v>3.4962926562847438</v>
      </c>
      <c r="R30" s="40">
        <v>0.4927317421294648</v>
      </c>
      <c r="S30" s="68">
        <v>12270</v>
      </c>
      <c r="T30" s="2">
        <v>15.715000234171384</v>
      </c>
      <c r="U30" s="28">
        <v>15.751500000000002</v>
      </c>
      <c r="Z30" s="2"/>
      <c r="AA30" s="2"/>
    </row>
    <row r="31" spans="2:29">
      <c r="B31" s="49">
        <v>0.10027658316868741</v>
      </c>
      <c r="C31" s="14">
        <v>0.10098511624225635</v>
      </c>
      <c r="D31" s="62">
        <v>-0.70162128829878034</v>
      </c>
      <c r="E31" s="2">
        <v>170</v>
      </c>
      <c r="F31" s="2">
        <v>41.347200616121881</v>
      </c>
      <c r="G31">
        <v>73.488</v>
      </c>
      <c r="L31" s="2"/>
      <c r="M31" s="2"/>
      <c r="P31" s="49">
        <v>3.5127000000000002</v>
      </c>
      <c r="Q31" s="7">
        <v>3.4961816769596972</v>
      </c>
      <c r="R31" s="40">
        <v>0.47246752504770939</v>
      </c>
      <c r="S31" s="68">
        <v>12190</v>
      </c>
      <c r="T31" s="2">
        <v>15.616200232700066</v>
      </c>
      <c r="U31" s="28">
        <v>15.752000000000001</v>
      </c>
      <c r="Z31" s="2"/>
      <c r="AA31" s="2"/>
    </row>
    <row r="32" spans="2:29">
      <c r="B32" s="50">
        <v>0.10026189050942931</v>
      </c>
      <c r="C32" s="19">
        <v>0.10101135907112915</v>
      </c>
      <c r="D32" s="63">
        <v>-0.74196463505860699</v>
      </c>
      <c r="E32" s="2">
        <v>171</v>
      </c>
      <c r="F32" s="2">
        <v>41.600400619894572</v>
      </c>
      <c r="G32">
        <v>73.466000000000008</v>
      </c>
      <c r="L32" s="2"/>
      <c r="M32" s="2"/>
      <c r="P32" s="50">
        <v>3.5119799999999999</v>
      </c>
      <c r="Q32" s="20">
        <v>3.4959680465517322</v>
      </c>
      <c r="R32" s="42">
        <v>0.45801200797762293</v>
      </c>
      <c r="S32" s="22">
        <v>12355</v>
      </c>
      <c r="T32" s="69">
        <v>15.830800235897186</v>
      </c>
      <c r="U32" s="32">
        <v>15.752500000000001</v>
      </c>
      <c r="Z32" s="2"/>
      <c r="AA32" s="2"/>
    </row>
  </sheetData>
  <sortState xmlns:xlrd2="http://schemas.microsoft.com/office/spreadsheetml/2017/richdata2" ref="P2:R32">
    <sortCondition descending="1" ref="P3:P32"/>
  </sortState>
  <mergeCells count="4">
    <mergeCell ref="B1:D1"/>
    <mergeCell ref="I1:K1"/>
    <mergeCell ref="P1:R1"/>
    <mergeCell ref="W1:Y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072E4-9B4E-4144-A3CF-27437A6E4041}">
  <dimension ref="A1:E28"/>
  <sheetViews>
    <sheetView topLeftCell="A10" workbookViewId="0">
      <selection activeCell="F10" sqref="F10"/>
    </sheetView>
  </sheetViews>
  <sheetFormatPr defaultRowHeight="14.45"/>
  <cols>
    <col min="1" max="1" width="14.7109375" bestFit="1" customWidth="1"/>
    <col min="4" max="4" width="10.7109375" customWidth="1"/>
    <col min="5" max="5" width="12.7109375" bestFit="1" customWidth="1"/>
  </cols>
  <sheetData>
    <row r="1" spans="1:5">
      <c r="A1" t="s">
        <v>29</v>
      </c>
    </row>
    <row r="2" spans="1:5">
      <c r="A2" t="s">
        <v>30</v>
      </c>
      <c r="B2">
        <v>0.2</v>
      </c>
      <c r="C2" t="s">
        <v>11</v>
      </c>
    </row>
    <row r="4" spans="1:5">
      <c r="A4" s="24" t="s">
        <v>31</v>
      </c>
      <c r="B4" s="25"/>
      <c r="C4" s="25"/>
      <c r="D4" s="26"/>
    </row>
    <row r="5" spans="1:5">
      <c r="A5" s="27" t="s">
        <v>32</v>
      </c>
      <c r="B5" s="29" cm="1">
        <f t="array" ref="B5">[1]!Density("nitrogen","TP","SI with C",21.5,0.101743)</f>
        <v>1.1636662957657338</v>
      </c>
      <c r="D5" s="28"/>
    </row>
    <row r="6" spans="1:5">
      <c r="A6" s="27" t="s">
        <v>33</v>
      </c>
      <c r="B6" s="29" cm="1">
        <f t="array" ref="B6">[1]!Density("nitrogen","TP","SI with C",21.5,0.101743+30/10^6)</f>
        <v>1.1640094932658462</v>
      </c>
      <c r="C6" s="46">
        <f>(B6-B5)/(30/10^6)</f>
        <v>11.439916670415625</v>
      </c>
      <c r="D6" s="28" t="s">
        <v>34</v>
      </c>
    </row>
    <row r="7" spans="1:5">
      <c r="A7" s="30" t="s">
        <v>35</v>
      </c>
      <c r="B7" s="36" cm="1">
        <f t="array" ref="B7">[1]!Density("nitrogen","TP","SI with C",21.5+0.1,0.101743)</f>
        <v>1.163270444173796</v>
      </c>
      <c r="C7" s="31">
        <f>(B7-B5)/0.1</f>
        <v>-3.9585159193777919E-3</v>
      </c>
      <c r="D7" s="32" t="s">
        <v>36</v>
      </c>
    </row>
    <row r="9" spans="1:5">
      <c r="A9" s="24" t="s">
        <v>37</v>
      </c>
      <c r="B9" s="25"/>
      <c r="C9" s="25"/>
      <c r="D9" s="26"/>
    </row>
    <row r="10" spans="1:5">
      <c r="A10" s="27" t="s">
        <v>32</v>
      </c>
      <c r="B10" s="29" cm="1">
        <f t="array" ref="B10">[1]!Density("co2","TP","SI with C",21.5,0.101743)</f>
        <v>1.8374054118088392</v>
      </c>
      <c r="D10" s="28"/>
    </row>
    <row r="11" spans="1:5">
      <c r="A11" s="27" t="s">
        <v>33</v>
      </c>
      <c r="B11" s="29" cm="1">
        <f t="array" ref="B11">[1]!Density("co2","TP","SI with C",21.5,0.101743+30/10^6)</f>
        <v>1.8379500712736545</v>
      </c>
      <c r="C11" s="46">
        <f>(B11-B10)/(30/10^6)</f>
        <v>18.155315493843343</v>
      </c>
      <c r="D11" s="28" t="s">
        <v>34</v>
      </c>
    </row>
    <row r="12" spans="1:5">
      <c r="A12" s="30" t="s">
        <v>35</v>
      </c>
      <c r="B12" s="36" cm="1">
        <f t="array" ref="B12">[1]!Density("co2","TP","SI with C",21.5+0.1,0.101743)</f>
        <v>1.8367711036288126</v>
      </c>
      <c r="C12" s="31">
        <f>(B12-B10)/0.1</f>
        <v>-6.3430818002663258E-3</v>
      </c>
      <c r="D12" s="32" t="s">
        <v>36</v>
      </c>
    </row>
    <row r="14" spans="1:5">
      <c r="A14" s="24" t="s">
        <v>38</v>
      </c>
      <c r="B14" s="25"/>
      <c r="C14" s="25"/>
      <c r="D14" s="25"/>
      <c r="E14" s="26"/>
    </row>
    <row r="15" spans="1:5">
      <c r="A15" s="27"/>
      <c r="B15" t="s">
        <v>39</v>
      </c>
      <c r="C15" t="s">
        <v>40</v>
      </c>
      <c r="D15" t="s">
        <v>41</v>
      </c>
      <c r="E15" s="28" t="s">
        <v>42</v>
      </c>
    </row>
    <row r="16" spans="1:5">
      <c r="A16" s="27" t="s">
        <v>43</v>
      </c>
      <c r="B16">
        <v>21.5</v>
      </c>
      <c r="C16">
        <v>0.1</v>
      </c>
      <c r="D16" s="38">
        <f>C7</f>
        <v>-3.9585159193777919E-3</v>
      </c>
      <c r="E16" s="33">
        <f>D16*C16</f>
        <v>-3.9585159193777919E-4</v>
      </c>
    </row>
    <row r="17" spans="1:5">
      <c r="A17" s="27" t="s">
        <v>44</v>
      </c>
      <c r="B17">
        <v>101743</v>
      </c>
      <c r="C17">
        <v>30</v>
      </c>
      <c r="D17" s="46">
        <f>C6</f>
        <v>11.439916670415625</v>
      </c>
      <c r="E17" s="33">
        <f>C17*D17/10^6</f>
        <v>3.431975001124688E-4</v>
      </c>
    </row>
    <row r="18" spans="1:5">
      <c r="A18" s="27" t="s">
        <v>45</v>
      </c>
      <c r="B18" t="s">
        <v>9</v>
      </c>
      <c r="C18">
        <v>0.01</v>
      </c>
      <c r="D18">
        <v>1</v>
      </c>
      <c r="E18" s="33">
        <f>C18/100*B19</f>
        <v>1.1636662957657339E-4</v>
      </c>
    </row>
    <row r="19" spans="1:5">
      <c r="A19" s="27" t="s">
        <v>46</v>
      </c>
      <c r="B19" s="29">
        <f>B5</f>
        <v>1.1636662957657338</v>
      </c>
      <c r="E19" s="34">
        <f>SQRT(SUMSQ(E16:E18))</f>
        <v>5.3667886058809283E-4</v>
      </c>
    </row>
    <row r="20" spans="1:5">
      <c r="A20" s="30"/>
      <c r="B20" s="31"/>
      <c r="C20" s="31"/>
      <c r="D20" s="31" t="s">
        <v>47</v>
      </c>
      <c r="E20" s="35">
        <f>E19/B19*100</f>
        <v>4.6119653249468665E-2</v>
      </c>
    </row>
    <row r="22" spans="1:5">
      <c r="A22" s="24" t="s">
        <v>48</v>
      </c>
      <c r="B22" s="25"/>
      <c r="C22" s="25"/>
      <c r="D22" s="25"/>
      <c r="E22" s="26"/>
    </row>
    <row r="23" spans="1:5">
      <c r="A23" s="27"/>
      <c r="B23" t="s">
        <v>39</v>
      </c>
      <c r="C23" t="s">
        <v>40</v>
      </c>
      <c r="D23" t="s">
        <v>41</v>
      </c>
      <c r="E23" s="28" t="s">
        <v>42</v>
      </c>
    </row>
    <row r="24" spans="1:5">
      <c r="A24" s="27" t="s">
        <v>43</v>
      </c>
      <c r="B24">
        <v>21.5</v>
      </c>
      <c r="C24">
        <v>0.1</v>
      </c>
      <c r="D24" s="38">
        <f>C12</f>
        <v>-6.3430818002663258E-3</v>
      </c>
      <c r="E24" s="33">
        <f>D24*C24</f>
        <v>-6.3430818002663258E-4</v>
      </c>
    </row>
    <row r="25" spans="1:5">
      <c r="A25" s="27" t="s">
        <v>44</v>
      </c>
      <c r="B25">
        <v>101743</v>
      </c>
      <c r="C25">
        <v>30</v>
      </c>
      <c r="D25" s="46">
        <f>D17</f>
        <v>11.439916670415625</v>
      </c>
      <c r="E25" s="33">
        <f>C25*D25/10^6</f>
        <v>3.431975001124688E-4</v>
      </c>
    </row>
    <row r="26" spans="1:5">
      <c r="A26" s="27" t="s">
        <v>45</v>
      </c>
      <c r="B26" t="s">
        <v>9</v>
      </c>
      <c r="C26">
        <v>0.05</v>
      </c>
      <c r="D26">
        <v>1</v>
      </c>
      <c r="E26" s="33">
        <f>C26/100*B27</f>
        <v>9.1870270590441964E-4</v>
      </c>
    </row>
    <row r="27" spans="1:5">
      <c r="A27" s="27" t="s">
        <v>46</v>
      </c>
      <c r="B27" s="29">
        <f>B10</f>
        <v>1.8374054118088392</v>
      </c>
      <c r="E27" s="34">
        <f>SQRT(SUMSQ(E24:E26))</f>
        <v>1.1679666318727814E-3</v>
      </c>
    </row>
    <row r="28" spans="1:5">
      <c r="A28" s="30"/>
      <c r="B28" s="31"/>
      <c r="C28" s="31"/>
      <c r="D28" s="31" t="s">
        <v>47</v>
      </c>
      <c r="E28" s="35">
        <f>E27/B27*100</f>
        <v>6.3566082061496332E-2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620101-b500-4b9b-b2ff-9afacfd9d2a6">
      <Terms xmlns="http://schemas.microsoft.com/office/infopath/2007/PartnerControls"/>
    </lcf76f155ced4ddcb4097134ff3c332f>
    <TaxCatchAll xmlns="ff648953-9008-4c41-b763-7456227eae4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9A29A0F06646A03FB8B2AC9D351B" ma:contentTypeVersion="15" ma:contentTypeDescription="Create a new document." ma:contentTypeScope="" ma:versionID="499b977ae29b0de280ab30b5e5e68b42">
  <xsd:schema xmlns:xsd="http://www.w3.org/2001/XMLSchema" xmlns:xs="http://www.w3.org/2001/XMLSchema" xmlns:p="http://schemas.microsoft.com/office/2006/metadata/properties" xmlns:ns2="6e620101-b500-4b9b-b2ff-9afacfd9d2a6" xmlns:ns3="ff648953-9008-4c41-b763-7456227eae4a" targetNamespace="http://schemas.microsoft.com/office/2006/metadata/properties" ma:root="true" ma:fieldsID="ed1114f1c50b418a1003b242dbe0f160" ns2:_="" ns3:_="">
    <xsd:import namespace="6e620101-b500-4b9b-b2ff-9afacfd9d2a6"/>
    <xsd:import namespace="ff648953-9008-4c41-b763-7456227eae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620101-b500-4b9b-b2ff-9afacfd9d2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8d0a502-75c6-45e6-acdf-f84b4c3971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648953-9008-4c41-b763-7456227eae4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72d7e63-36ab-4487-930a-c0a15b7033b1}" ma:internalName="TaxCatchAll" ma:showField="CatchAllData" ma:web="ff648953-9008-4c41-b763-7456227eae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25588C-F5DD-4481-9E3B-2DAAB4770840}"/>
</file>

<file path=customXml/itemProps2.xml><?xml version="1.0" encoding="utf-8"?>
<ds:datastoreItem xmlns:ds="http://schemas.openxmlformats.org/officeDocument/2006/customXml" ds:itemID="{58FA161B-BD26-4EC3-BD3E-08708E5EDDFA}"/>
</file>

<file path=customXml/itemProps3.xml><?xml version="1.0" encoding="utf-8"?>
<ds:datastoreItem xmlns:ds="http://schemas.openxmlformats.org/officeDocument/2006/customXml" ds:itemID="{DC6D6999-61F2-4627-903B-EE82D8B12F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Ara Abdulrahman</dc:creator>
  <cp:keywords/>
  <dc:description/>
  <cp:lastModifiedBy>Kurt Rasmussen</cp:lastModifiedBy>
  <cp:revision/>
  <dcterms:created xsi:type="dcterms:W3CDTF">2015-06-05T18:19:34Z</dcterms:created>
  <dcterms:modified xsi:type="dcterms:W3CDTF">2025-11-20T10:38:01Z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0x0101002CEF9A29A0F06646A03FB8B2AC9D351B</vt:lpwstr>
  </property>
  <property fmtid="{D5CDD505-2E9C-101B-9397-08002B2CF9AE}" pid="3" name="MediaServiceImageTags">
    <vt:lpwstr/>
  </property>
</Properties>
</file>