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uevsued.sharepoint.com/teams/nel-operations/Shared Documents/Technical Sales/Contracts - Live/EMR017_EMPIR_MetCCUS/Technical/A1.2.2 Large scale testing/Intercomparison/Analysis/"/>
    </mc:Choice>
  </mc:AlternateContent>
  <xr:revisionPtr revIDLastSave="527" documentId="8_{85E5D0CA-1498-4A74-8FE3-EE768471C6DA}" xr6:coauthVersionLast="47" xr6:coauthVersionMax="47" xr10:uidLastSave="{8B5A5DF6-5992-4A8C-9096-87881B97189B}"/>
  <bookViews>
    <workbookView xWindow="-120" yWindow="-120" windowWidth="29040" windowHeight="15720" firstSheet="7" activeTab="11" xr2:uid="{D99C5495-B9BE-4523-9997-C14F0ED93F86}"/>
  </bookViews>
  <sheets>
    <sheet name="Data" sheetId="13" r:id="rId1"/>
    <sheet name=" Error MUT" sheetId="14" r:id="rId2"/>
    <sheet name="En" sheetId="15" r:id="rId3"/>
    <sheet name=" Error MUT 31 bara" sheetId="19" r:id="rId4"/>
    <sheet name=" Error MUT 21 bara" sheetId="18" r:id="rId5"/>
    <sheet name=" Error MUT (Vol x axis)" sheetId="17" r:id="rId6"/>
    <sheet name=" Error MUT CO2vsN2vsNG" sheetId="26" r:id="rId7"/>
    <sheet name="Data NG FORCE 21 bar" sheetId="28" r:id="rId8"/>
    <sheet name="Data NG FORCE 31 bar" sheetId="27" r:id="rId9"/>
    <sheet name="Data N2 NEL" sheetId="21" r:id="rId10"/>
    <sheet name="Sheet2" sheetId="16" r:id="rId11"/>
    <sheet name="Coriolis Manufact Error" sheetId="20" r:id="rId12"/>
    <sheet name="(TBL) Coriolis N2 35 bar" sheetId="22" r:id="rId13"/>
    <sheet name="(TBL) Coriolis N2 60 bar" sheetId="23" r:id="rId14"/>
    <sheet name="(TBL) Coriolis CO2 27 bar" sheetId="24" r:id="rId15"/>
    <sheet name="(TBL) Coriolis CO2 37 bar" sheetId="25" r:id="rId16"/>
  </sheets>
  <externalReferences>
    <externalReference r:id="rId17"/>
  </externalReferences>
  <definedNames>
    <definedName name="solver_adj" localSheetId="0" hidden="1">Data!#REF!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Data!#REF!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8" l="1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BX57" i="13"/>
  <c r="BX56" i="13"/>
  <c r="BX55" i="13"/>
  <c r="BX54" i="13"/>
  <c r="BX53" i="13"/>
  <c r="BX52" i="13"/>
  <c r="BX51" i="13"/>
  <c r="BX50" i="13"/>
  <c r="BX49" i="13"/>
  <c r="BX48" i="13"/>
  <c r="BX47" i="13"/>
  <c r="BX46" i="13"/>
  <c r="BX45" i="13"/>
  <c r="BX44" i="13"/>
  <c r="BX43" i="13"/>
  <c r="BX42" i="13"/>
  <c r="BX41" i="13"/>
  <c r="BX40" i="13"/>
  <c r="AR44" i="13"/>
  <c r="AR45" i="13"/>
  <c r="AR46" i="13"/>
  <c r="AR47" i="13"/>
  <c r="AR48" i="13"/>
  <c r="AR49" i="13"/>
  <c r="AR50" i="13"/>
  <c r="AR51" i="13"/>
  <c r="AR52" i="13"/>
  <c r="AR53" i="13"/>
  <c r="AR54" i="13"/>
  <c r="AR55" i="13"/>
  <c r="AR56" i="13"/>
  <c r="AR57" i="13"/>
  <c r="AR43" i="13"/>
  <c r="BX14" i="13"/>
  <c r="BX15" i="13"/>
  <c r="BX16" i="13"/>
  <c r="BX17" i="13"/>
  <c r="BX18" i="13"/>
  <c r="BX19" i="13"/>
  <c r="BX20" i="13"/>
  <c r="BX21" i="13"/>
  <c r="BX22" i="13"/>
  <c r="BX23" i="13"/>
  <c r="BX24" i="13"/>
  <c r="BX25" i="13"/>
  <c r="BX26" i="13"/>
  <c r="BX27" i="13"/>
  <c r="BX28" i="13"/>
  <c r="BX29" i="13"/>
  <c r="BX30" i="13"/>
  <c r="BX13" i="13"/>
  <c r="AR17" i="13"/>
  <c r="AR18" i="13"/>
  <c r="AR19" i="13"/>
  <c r="AR20" i="13"/>
  <c r="AR21" i="13"/>
  <c r="AR22" i="13"/>
  <c r="AR23" i="13"/>
  <c r="AR24" i="13"/>
  <c r="AR16" i="13"/>
  <c r="L26" i="13"/>
  <c r="L13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40" i="13"/>
  <c r="Y13" i="28"/>
  <c r="Z13" i="28" s="1"/>
  <c r="S27" i="28"/>
  <c r="O27" i="28"/>
  <c r="AF26" i="28"/>
  <c r="S26" i="28"/>
  <c r="Q26" i="28"/>
  <c r="O26" i="28"/>
  <c r="AF25" i="28"/>
  <c r="AD25" i="28"/>
  <c r="AB25" i="28"/>
  <c r="Y25" i="28"/>
  <c r="Z25" i="28" s="1"/>
  <c r="S25" i="28"/>
  <c r="O25" i="28"/>
  <c r="Q25" i="28" s="1"/>
  <c r="S24" i="28"/>
  <c r="O24" i="28"/>
  <c r="AF23" i="28"/>
  <c r="S23" i="28"/>
  <c r="Q23" i="28"/>
  <c r="O23" i="28"/>
  <c r="AF22" i="28"/>
  <c r="AD22" i="28"/>
  <c r="AB22" i="28"/>
  <c r="Y22" i="28"/>
  <c r="Z22" i="28" s="1"/>
  <c r="S22" i="28"/>
  <c r="O22" i="28"/>
  <c r="Q22" i="28" s="1"/>
  <c r="S21" i="28"/>
  <c r="O21" i="28"/>
  <c r="AF20" i="28"/>
  <c r="S20" i="28"/>
  <c r="Q20" i="28"/>
  <c r="O20" i="28"/>
  <c r="AF19" i="28"/>
  <c r="AD19" i="28"/>
  <c r="AB19" i="28"/>
  <c r="Y19" i="28"/>
  <c r="Z19" i="28" s="1"/>
  <c r="S19" i="28"/>
  <c r="O19" i="28"/>
  <c r="Q19" i="28" s="1"/>
  <c r="S18" i="28"/>
  <c r="O18" i="28"/>
  <c r="AF17" i="28"/>
  <c r="S17" i="28"/>
  <c r="Q17" i="28"/>
  <c r="O17" i="28"/>
  <c r="AF16" i="28"/>
  <c r="AG16" i="28" s="1"/>
  <c r="AD16" i="28"/>
  <c r="AB16" i="28"/>
  <c r="Y16" i="28"/>
  <c r="Z16" i="28" s="1"/>
  <c r="S16" i="28"/>
  <c r="O16" i="28"/>
  <c r="Q16" i="28" s="1"/>
  <c r="S15" i="28"/>
  <c r="O15" i="28"/>
  <c r="AF14" i="28"/>
  <c r="AG13" i="28" s="1"/>
  <c r="S14" i="28"/>
  <c r="Q14" i="28"/>
  <c r="O14" i="28"/>
  <c r="AF13" i="28"/>
  <c r="AD13" i="28"/>
  <c r="AB13" i="28"/>
  <c r="S13" i="28"/>
  <c r="O13" i="28"/>
  <c r="Q13" i="28" s="1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AF27" i="27"/>
  <c r="S27" i="27"/>
  <c r="Q27" i="27"/>
  <c r="O27" i="27"/>
  <c r="AF26" i="27"/>
  <c r="S26" i="27"/>
  <c r="Q26" i="27"/>
  <c r="O26" i="27"/>
  <c r="AF25" i="27"/>
  <c r="AD25" i="27"/>
  <c r="AB25" i="27"/>
  <c r="Z25" i="27"/>
  <c r="Y25" i="27"/>
  <c r="S25" i="27"/>
  <c r="O25" i="27"/>
  <c r="Q25" i="27" s="1"/>
  <c r="AF24" i="27"/>
  <c r="S24" i="27"/>
  <c r="O24" i="27"/>
  <c r="Q24" i="27" s="1"/>
  <c r="AF23" i="27"/>
  <c r="S23" i="27"/>
  <c r="Q23" i="27"/>
  <c r="O23" i="27"/>
  <c r="AF22" i="27"/>
  <c r="AD22" i="27"/>
  <c r="AB22" i="27"/>
  <c r="Y22" i="27"/>
  <c r="Z22" i="27" s="1"/>
  <c r="S22" i="27"/>
  <c r="Q22" i="27"/>
  <c r="O22" i="27"/>
  <c r="AF21" i="27"/>
  <c r="S21" i="27"/>
  <c r="O21" i="27"/>
  <c r="Q21" i="27" s="1"/>
  <c r="AF20" i="27"/>
  <c r="S20" i="27"/>
  <c r="O20" i="27"/>
  <c r="Q20" i="27" s="1"/>
  <c r="AF19" i="27"/>
  <c r="AD19" i="27"/>
  <c r="AB19" i="27"/>
  <c r="Y19" i="27"/>
  <c r="Z19" i="27" s="1"/>
  <c r="S19" i="27"/>
  <c r="Q19" i="27"/>
  <c r="O19" i="27"/>
  <c r="AF18" i="27"/>
  <c r="S18" i="27"/>
  <c r="O18" i="27"/>
  <c r="Q18" i="27" s="1"/>
  <c r="AF17" i="27"/>
  <c r="S17" i="27"/>
  <c r="Q17" i="27"/>
  <c r="O17" i="27"/>
  <c r="AF16" i="27"/>
  <c r="AD16" i="27"/>
  <c r="AB16" i="27"/>
  <c r="Y16" i="27"/>
  <c r="Z16" i="27" s="1"/>
  <c r="S16" i="27"/>
  <c r="Q16" i="27"/>
  <c r="O16" i="27"/>
  <c r="AF15" i="27"/>
  <c r="S15" i="27"/>
  <c r="O15" i="27"/>
  <c r="Q15" i="27" s="1"/>
  <c r="AF14" i="27"/>
  <c r="S14" i="27"/>
  <c r="O14" i="27"/>
  <c r="Q14" i="27" s="1"/>
  <c r="T14" i="27" s="1"/>
  <c r="U14" i="27" s="1"/>
  <c r="AF13" i="27"/>
  <c r="AD13" i="27"/>
  <c r="AB13" i="27"/>
  <c r="Y13" i="27"/>
  <c r="Z13" i="27" s="1"/>
  <c r="S13" i="27"/>
  <c r="Q13" i="27"/>
  <c r="O13" i="27"/>
  <c r="DJ13" i="13"/>
  <c r="DI13" i="13"/>
  <c r="DH13" i="13"/>
  <c r="CW13" i="13"/>
  <c r="CV13" i="13"/>
  <c r="T14" i="28" l="1"/>
  <c r="U14" i="28" s="1"/>
  <c r="T20" i="28"/>
  <c r="U20" i="28" s="1"/>
  <c r="AG22" i="28"/>
  <c r="AG19" i="28"/>
  <c r="T17" i="28"/>
  <c r="U17" i="28" s="1"/>
  <c r="T26" i="28"/>
  <c r="U26" i="28" s="1"/>
  <c r="AG25" i="28"/>
  <c r="T23" i="28"/>
  <c r="U23" i="28" s="1"/>
  <c r="T25" i="28"/>
  <c r="U25" i="28" s="1"/>
  <c r="T13" i="28"/>
  <c r="U13" i="28" s="1"/>
  <c r="T19" i="28"/>
  <c r="U19" i="28" s="1"/>
  <c r="T22" i="28"/>
  <c r="U22" i="28" s="1"/>
  <c r="T16" i="28"/>
  <c r="U16" i="28" s="1"/>
  <c r="T19" i="27"/>
  <c r="U19" i="27" s="1"/>
  <c r="T17" i="27"/>
  <c r="U17" i="27" s="1"/>
  <c r="T13" i="27"/>
  <c r="U13" i="27" s="1"/>
  <c r="AG19" i="27"/>
  <c r="AG13" i="27"/>
  <c r="AG16" i="27"/>
  <c r="AG25" i="27"/>
  <c r="T24" i="27"/>
  <c r="U24" i="27" s="1"/>
  <c r="T25" i="27"/>
  <c r="U25" i="27" s="1"/>
  <c r="W25" i="27" s="1"/>
  <c r="T20" i="27"/>
  <c r="U20" i="27" s="1"/>
  <c r="T23" i="27"/>
  <c r="U23" i="27" s="1"/>
  <c r="T16" i="27"/>
  <c r="U16" i="27" s="1"/>
  <c r="AG22" i="27"/>
  <c r="T26" i="27"/>
  <c r="U26" i="27" s="1"/>
  <c r="T22" i="27"/>
  <c r="U22" i="27" s="1"/>
  <c r="T27" i="27"/>
  <c r="U27" i="27" s="1"/>
  <c r="T18" i="27"/>
  <c r="U18" i="27" s="1"/>
  <c r="T21" i="27"/>
  <c r="U21" i="27" s="1"/>
  <c r="T15" i="27"/>
  <c r="U15" i="27" s="1"/>
  <c r="X13" i="27" s="1"/>
  <c r="AA13" i="27" s="1"/>
  <c r="AC13" i="27" s="1"/>
  <c r="X19" i="27"/>
  <c r="AA19" i="27" s="1"/>
  <c r="AC19" i="27" s="1"/>
  <c r="BL22" i="13"/>
  <c r="BL23" i="13"/>
  <c r="BM22" i="13" s="1"/>
  <c r="BL24" i="13"/>
  <c r="BE22" i="13"/>
  <c r="BF22" i="13" s="1"/>
  <c r="BH22" i="13"/>
  <c r="BJ22" i="13"/>
  <c r="AW22" i="13"/>
  <c r="AY22" i="13"/>
  <c r="AW23" i="13"/>
  <c r="AZ23" i="13" s="1"/>
  <c r="BA23" i="13" s="1"/>
  <c r="AY23" i="13"/>
  <c r="AW24" i="13"/>
  <c r="AY24" i="13"/>
  <c r="AZ24" i="13" s="1"/>
  <c r="BA24" i="13" s="1"/>
  <c r="AU22" i="13"/>
  <c r="AU23" i="13"/>
  <c r="AU24" i="13"/>
  <c r="BA57" i="13"/>
  <c r="AY43" i="13"/>
  <c r="AW43" i="13"/>
  <c r="AZ43" i="13" s="1"/>
  <c r="BA43" i="13" s="1"/>
  <c r="BC43" i="13" s="1"/>
  <c r="BL49" i="13"/>
  <c r="BM49" i="13" s="1"/>
  <c r="BL50" i="13"/>
  <c r="BL51" i="13"/>
  <c r="BL52" i="13"/>
  <c r="BM52" i="13" s="1"/>
  <c r="BL53" i="13"/>
  <c r="BL54" i="13"/>
  <c r="BL55" i="13"/>
  <c r="BM55" i="13" s="1"/>
  <c r="BL56" i="13"/>
  <c r="BL57" i="13"/>
  <c r="BE49" i="13"/>
  <c r="BF49" i="13" s="1"/>
  <c r="BH49" i="13"/>
  <c r="BJ49" i="13"/>
  <c r="BE52" i="13"/>
  <c r="BF52" i="13" s="1"/>
  <c r="BH52" i="13"/>
  <c r="BJ52" i="13"/>
  <c r="BE55" i="13"/>
  <c r="BF55" i="13" s="1"/>
  <c r="BH55" i="13"/>
  <c r="BJ55" i="13"/>
  <c r="AY57" i="13"/>
  <c r="AU57" i="13"/>
  <c r="AW57" i="13" s="1"/>
  <c r="AY56" i="13"/>
  <c r="AU56" i="13"/>
  <c r="AW56" i="13" s="1"/>
  <c r="AY55" i="13"/>
  <c r="AU55" i="13"/>
  <c r="AW55" i="13" s="1"/>
  <c r="AZ55" i="13" s="1"/>
  <c r="BA55" i="13" s="1"/>
  <c r="AY54" i="13"/>
  <c r="AU54" i="13"/>
  <c r="AW54" i="13" s="1"/>
  <c r="AY53" i="13"/>
  <c r="AU53" i="13"/>
  <c r="AW53" i="13" s="1"/>
  <c r="AY52" i="13"/>
  <c r="AU52" i="13"/>
  <c r="AW52" i="13" s="1"/>
  <c r="AZ52" i="13" s="1"/>
  <c r="BA52" i="13" s="1"/>
  <c r="AY51" i="13"/>
  <c r="AU51" i="13"/>
  <c r="AW51" i="13" s="1"/>
  <c r="AY50" i="13"/>
  <c r="AW50" i="13"/>
  <c r="AU50" i="13"/>
  <c r="AY49" i="13"/>
  <c r="AU49" i="13"/>
  <c r="AW49" i="13" s="1"/>
  <c r="AY48" i="13"/>
  <c r="AU48" i="13"/>
  <c r="AW48" i="13" s="1"/>
  <c r="AY47" i="13"/>
  <c r="AU47" i="13"/>
  <c r="AW47" i="13" s="1"/>
  <c r="AY46" i="13"/>
  <c r="AU46" i="13"/>
  <c r="AW46" i="13" s="1"/>
  <c r="AZ46" i="13" s="1"/>
  <c r="BA46" i="13" s="1"/>
  <c r="AY45" i="13"/>
  <c r="AU45" i="13"/>
  <c r="AW45" i="13" s="1"/>
  <c r="AY44" i="13"/>
  <c r="AW44" i="13"/>
  <c r="AU44" i="13"/>
  <c r="AU43" i="13"/>
  <c r="W19" i="27" l="1"/>
  <c r="W16" i="27"/>
  <c r="W25" i="28"/>
  <c r="X25" i="28"/>
  <c r="AA25" i="28" s="1"/>
  <c r="AC25" i="28" s="1"/>
  <c r="X16" i="28"/>
  <c r="AA16" i="28" s="1"/>
  <c r="AC16" i="28" s="1"/>
  <c r="W16" i="28"/>
  <c r="X22" i="28"/>
  <c r="AA22" i="28" s="1"/>
  <c r="AC22" i="28" s="1"/>
  <c r="W22" i="28"/>
  <c r="W19" i="28"/>
  <c r="X19" i="28"/>
  <c r="AA19" i="28" s="1"/>
  <c r="AC19" i="28" s="1"/>
  <c r="W13" i="28"/>
  <c r="X13" i="28"/>
  <c r="AA13" i="28" s="1"/>
  <c r="AC13" i="28" s="1"/>
  <c r="X16" i="27"/>
  <c r="AA16" i="27" s="1"/>
  <c r="AC16" i="27" s="1"/>
  <c r="X25" i="27"/>
  <c r="AA25" i="27" s="1"/>
  <c r="AC25" i="27" s="1"/>
  <c r="X22" i="27"/>
  <c r="AA22" i="27" s="1"/>
  <c r="AC22" i="27" s="1"/>
  <c r="AC9" i="27" s="1"/>
  <c r="W22" i="27"/>
  <c r="W13" i="27"/>
  <c r="AZ22" i="13"/>
  <c r="BA22" i="13" s="1"/>
  <c r="AZ49" i="13"/>
  <c r="BA49" i="13" s="1"/>
  <c r="AZ50" i="13"/>
  <c r="BA50" i="13" s="1"/>
  <c r="AZ44" i="13"/>
  <c r="BA44" i="13" s="1"/>
  <c r="AZ57" i="13"/>
  <c r="AZ56" i="13"/>
  <c r="BA56" i="13" s="1"/>
  <c r="AZ51" i="13"/>
  <c r="BA51" i="13" s="1"/>
  <c r="AZ53" i="13"/>
  <c r="BA53" i="13" s="1"/>
  <c r="BC52" i="13" s="1"/>
  <c r="AZ54" i="13"/>
  <c r="BA54" i="13" s="1"/>
  <c r="AZ45" i="13"/>
  <c r="BA45" i="13" s="1"/>
  <c r="AZ47" i="13"/>
  <c r="BA47" i="13" s="1"/>
  <c r="AZ48" i="13"/>
  <c r="BA48" i="13" s="1"/>
  <c r="AC9" i="28" l="1"/>
  <c r="BC22" i="13"/>
  <c r="BD22" i="13"/>
  <c r="BG22" i="13" s="1"/>
  <c r="BI22" i="13" s="1"/>
  <c r="BD55" i="13"/>
  <c r="BG55" i="13" s="1"/>
  <c r="BI55" i="13" s="1"/>
  <c r="BC55" i="13"/>
  <c r="BD52" i="13"/>
  <c r="BG52" i="13" s="1"/>
  <c r="BI52" i="13" s="1"/>
  <c r="BD49" i="13"/>
  <c r="BG49" i="13" s="1"/>
  <c r="BI49" i="13" s="1"/>
  <c r="BC49" i="13"/>
  <c r="CY52" i="13" l="1"/>
  <c r="CX52" i="13" s="1"/>
  <c r="CY49" i="13"/>
  <c r="CX49" i="13" s="1"/>
  <c r="CY55" i="13"/>
  <c r="CX55" i="13" s="1"/>
  <c r="CY22" i="13"/>
  <c r="CX22" i="13" s="1"/>
  <c r="Q13" i="21"/>
  <c r="CC13" i="13"/>
  <c r="CC40" i="13"/>
  <c r="AW16" i="13"/>
  <c r="Q40" i="13"/>
  <c r="Q13" i="13"/>
  <c r="CC57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AW17" i="13"/>
  <c r="AW18" i="13"/>
  <c r="AW19" i="13"/>
  <c r="AW20" i="13"/>
  <c r="CC14" i="13"/>
  <c r="CC15" i="13"/>
  <c r="CC16" i="13"/>
  <c r="CC17" i="13"/>
  <c r="CC18" i="13"/>
  <c r="CC19" i="13"/>
  <c r="CC20" i="13"/>
  <c r="CC21" i="13"/>
  <c r="CC22" i="13"/>
  <c r="CC23" i="13"/>
  <c r="CC24" i="13"/>
  <c r="CC25" i="13"/>
  <c r="CC26" i="13"/>
  <c r="CC27" i="13"/>
  <c r="CC28" i="13"/>
  <c r="CC29" i="13"/>
  <c r="CC30" i="13"/>
  <c r="CC41" i="13"/>
  <c r="CC42" i="13"/>
  <c r="CC43" i="13"/>
  <c r="CC44" i="13"/>
  <c r="CC45" i="13"/>
  <c r="CC46" i="13"/>
  <c r="CC47" i="13"/>
  <c r="CC48" i="13"/>
  <c r="CC49" i="13"/>
  <c r="CC50" i="13"/>
  <c r="CC51" i="13"/>
  <c r="CC52" i="13"/>
  <c r="CC53" i="13"/>
  <c r="CC54" i="13"/>
  <c r="CC55" i="13"/>
  <c r="CC56" i="13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L14" i="13"/>
  <c r="L15" i="13"/>
  <c r="L16" i="13"/>
  <c r="L17" i="13"/>
  <c r="L18" i="13"/>
  <c r="L19" i="13"/>
  <c r="L20" i="13"/>
  <c r="L21" i="13"/>
  <c r="L22" i="13"/>
  <c r="L23" i="13"/>
  <c r="L24" i="13"/>
  <c r="L25" i="13"/>
  <c r="L27" i="13"/>
  <c r="L28" i="13"/>
  <c r="L29" i="13"/>
  <c r="L30" i="13"/>
  <c r="T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13" i="21"/>
  <c r="S13" i="21"/>
  <c r="BL1" i="25"/>
  <c r="BL2" i="25"/>
  <c r="BL3" i="25"/>
  <c r="BL4" i="25"/>
  <c r="AC5" i="25"/>
  <c r="BL5" i="25"/>
  <c r="BL6" i="25"/>
  <c r="BL7" i="25"/>
  <c r="BL8" i="25"/>
  <c r="Q13" i="25"/>
  <c r="R13" i="25"/>
  <c r="X13" i="25"/>
  <c r="Z13" i="25" s="1"/>
  <c r="AB13" i="25" s="1"/>
  <c r="AA13" i="25"/>
  <c r="AM13" i="25"/>
  <c r="BF13" i="25"/>
  <c r="BD13" i="25" s="1"/>
  <c r="Q14" i="25"/>
  <c r="R14" i="25"/>
  <c r="X14" i="25"/>
  <c r="Z14" i="25" s="1"/>
  <c r="AB14" i="25" s="1"/>
  <c r="AA14" i="25"/>
  <c r="AM14" i="25"/>
  <c r="BF14" i="25"/>
  <c r="BD14" i="25" s="1"/>
  <c r="BG14" i="25" s="1"/>
  <c r="BH14" i="25" s="1"/>
  <c r="Q15" i="25"/>
  <c r="R15" i="25"/>
  <c r="X15" i="25"/>
  <c r="Z15" i="25"/>
  <c r="AA15" i="25"/>
  <c r="AM15" i="25" s="1"/>
  <c r="AB15" i="25"/>
  <c r="BF15" i="25"/>
  <c r="BD15" i="25" s="1"/>
  <c r="BG15" i="25" s="1"/>
  <c r="BH15" i="25" s="1"/>
  <c r="BJ15" i="25"/>
  <c r="Q16" i="25"/>
  <c r="R16" i="25"/>
  <c r="X16" i="25"/>
  <c r="Z16" i="25"/>
  <c r="AA16" i="25"/>
  <c r="AB16" i="25"/>
  <c r="AM16" i="25"/>
  <c r="BD16" i="25"/>
  <c r="BG16" i="25" s="1"/>
  <c r="BH16" i="25" s="1"/>
  <c r="BF16" i="25"/>
  <c r="Q17" i="25"/>
  <c r="R17" i="25"/>
  <c r="X17" i="25"/>
  <c r="Z17" i="25"/>
  <c r="AA17" i="25"/>
  <c r="AB17" i="25" s="1"/>
  <c r="AM17" i="25"/>
  <c r="BF17" i="25"/>
  <c r="Q18" i="25"/>
  <c r="R18" i="25"/>
  <c r="X18" i="25"/>
  <c r="Z18" i="25" s="1"/>
  <c r="AB18" i="25" s="1"/>
  <c r="AA18" i="25"/>
  <c r="AM18" i="25" s="1"/>
  <c r="BD18" i="25"/>
  <c r="BF18" i="25"/>
  <c r="BG18" i="25"/>
  <c r="BH18" i="25" s="1"/>
  <c r="Q19" i="25"/>
  <c r="R19" i="25"/>
  <c r="X19" i="25"/>
  <c r="Z19" i="25" s="1"/>
  <c r="AA19" i="25"/>
  <c r="AM19" i="25"/>
  <c r="BF19" i="25"/>
  <c r="Q20" i="25"/>
  <c r="R20" i="25"/>
  <c r="X20" i="25"/>
  <c r="Z20" i="25" s="1"/>
  <c r="AB20" i="25" s="1"/>
  <c r="AA20" i="25"/>
  <c r="AM20" i="25" s="1"/>
  <c r="BD20" i="25"/>
  <c r="BF20" i="25"/>
  <c r="BG20" i="25"/>
  <c r="BH20" i="25" s="1"/>
  <c r="Q21" i="25"/>
  <c r="R21" i="25"/>
  <c r="X21" i="25"/>
  <c r="Z21" i="25" s="1"/>
  <c r="AA21" i="25"/>
  <c r="AM21" i="25"/>
  <c r="BD21" i="25"/>
  <c r="BG21" i="25" s="1"/>
  <c r="BH21" i="25" s="1"/>
  <c r="BF21" i="25"/>
  <c r="BI21" i="25" s="1"/>
  <c r="Q22" i="25"/>
  <c r="R22" i="25"/>
  <c r="X22" i="25"/>
  <c r="Z22" i="25"/>
  <c r="AA22" i="25"/>
  <c r="BD22" i="25"/>
  <c r="BF22" i="25"/>
  <c r="BG22" i="25"/>
  <c r="BH22" i="25" s="1"/>
  <c r="Q23" i="25"/>
  <c r="R23" i="25"/>
  <c r="X23" i="25"/>
  <c r="Z23" i="25" s="1"/>
  <c r="AA23" i="25"/>
  <c r="BD23" i="25"/>
  <c r="BG23" i="25" s="1"/>
  <c r="BH23" i="25" s="1"/>
  <c r="BF23" i="25"/>
  <c r="Q24" i="25"/>
  <c r="R24" i="25"/>
  <c r="X24" i="25"/>
  <c r="Z24" i="25"/>
  <c r="AA24" i="25"/>
  <c r="BD24" i="25"/>
  <c r="BG24" i="25" s="1"/>
  <c r="BH24" i="25" s="1"/>
  <c r="BF24" i="25"/>
  <c r="BJ24" i="25"/>
  <c r="Q25" i="25"/>
  <c r="R25" i="25"/>
  <c r="X25" i="25"/>
  <c r="Z25" i="25" s="1"/>
  <c r="AA25" i="25"/>
  <c r="AM25" i="25" s="1"/>
  <c r="BD25" i="25"/>
  <c r="BG25" i="25" s="1"/>
  <c r="BH25" i="25" s="1"/>
  <c r="BF25" i="25"/>
  <c r="Q26" i="25"/>
  <c r="R26" i="25"/>
  <c r="X26" i="25"/>
  <c r="Z26" i="25"/>
  <c r="AA26" i="25"/>
  <c r="BD26" i="25"/>
  <c r="BG26" i="25" s="1"/>
  <c r="BH26" i="25" s="1"/>
  <c r="BF26" i="25"/>
  <c r="BI26" i="25"/>
  <c r="BJ26" i="25"/>
  <c r="Q27" i="25"/>
  <c r="R27" i="25"/>
  <c r="X27" i="25"/>
  <c r="Z27" i="25" s="1"/>
  <c r="AA27" i="25"/>
  <c r="AB27" i="25" s="1"/>
  <c r="AM27" i="25"/>
  <c r="BD27" i="25"/>
  <c r="BG27" i="25" s="1"/>
  <c r="BH27" i="25" s="1"/>
  <c r="BF27" i="25"/>
  <c r="BI27" i="25" s="1"/>
  <c r="Q28" i="25"/>
  <c r="R28" i="25"/>
  <c r="X28" i="25"/>
  <c r="Z28" i="25" s="1"/>
  <c r="AA28" i="25"/>
  <c r="AB28" i="25" s="1"/>
  <c r="BF28" i="25"/>
  <c r="BI28" i="25" s="1"/>
  <c r="Q29" i="25"/>
  <c r="R29" i="25"/>
  <c r="X29" i="25"/>
  <c r="Z29" i="25" s="1"/>
  <c r="AB29" i="25" s="1"/>
  <c r="AA29" i="25"/>
  <c r="AM29" i="25" s="1"/>
  <c r="BF29" i="25"/>
  <c r="BD29" i="25" s="1"/>
  <c r="BG29" i="25" s="1"/>
  <c r="BH29" i="25" s="1"/>
  <c r="Q30" i="25"/>
  <c r="R30" i="25"/>
  <c r="X30" i="25"/>
  <c r="Z30" i="25" s="1"/>
  <c r="AB30" i="25" s="1"/>
  <c r="AA30" i="25"/>
  <c r="AM30" i="25" s="1"/>
  <c r="BF30" i="25"/>
  <c r="BI30" i="25" s="1"/>
  <c r="Q31" i="25"/>
  <c r="R31" i="25"/>
  <c r="X31" i="25"/>
  <c r="Z31" i="25" s="1"/>
  <c r="AB31" i="25" s="1"/>
  <c r="AA31" i="25"/>
  <c r="AM31" i="25" s="1"/>
  <c r="BF31" i="25"/>
  <c r="BD31" i="25" s="1"/>
  <c r="BG31" i="25" s="1"/>
  <c r="BH31" i="25" s="1"/>
  <c r="Q32" i="25"/>
  <c r="R32" i="25"/>
  <c r="X32" i="25"/>
  <c r="Z32" i="25" s="1"/>
  <c r="AA32" i="25"/>
  <c r="AB32" i="25" s="1"/>
  <c r="BF32" i="25"/>
  <c r="BI32" i="25" s="1"/>
  <c r="Q33" i="25"/>
  <c r="R33" i="25"/>
  <c r="X33" i="25"/>
  <c r="Z33" i="25"/>
  <c r="AB33" i="25" s="1"/>
  <c r="AA33" i="25"/>
  <c r="AM33" i="25" s="1"/>
  <c r="BF33" i="25"/>
  <c r="BD33" i="25" s="1"/>
  <c r="BG33" i="25" s="1"/>
  <c r="BH33" i="25" s="1"/>
  <c r="Q34" i="25"/>
  <c r="R34" i="25"/>
  <c r="X34" i="25"/>
  <c r="Z34" i="25"/>
  <c r="AA34" i="25"/>
  <c r="AB34" i="25" s="1"/>
  <c r="BF34" i="25"/>
  <c r="BI34" i="25" s="1"/>
  <c r="Q35" i="25"/>
  <c r="R35" i="25"/>
  <c r="X35" i="25"/>
  <c r="Z35" i="25"/>
  <c r="AA35" i="25"/>
  <c r="AM35" i="25" s="1"/>
  <c r="BF35" i="25"/>
  <c r="BD35" i="25" s="1"/>
  <c r="BG35" i="25" s="1"/>
  <c r="BH35" i="25" s="1"/>
  <c r="BI35" i="25"/>
  <c r="BJ35" i="25"/>
  <c r="BK35" i="25"/>
  <c r="BL35" i="25" s="1"/>
  <c r="BM35" i="25" s="1"/>
  <c r="Q36" i="25"/>
  <c r="R36" i="25"/>
  <c r="X36" i="25"/>
  <c r="Z36" i="25" s="1"/>
  <c r="AB36" i="25" s="1"/>
  <c r="AA36" i="25"/>
  <c r="AM36" i="25"/>
  <c r="BD36" i="25"/>
  <c r="BG36" i="25" s="1"/>
  <c r="BH36" i="25" s="1"/>
  <c r="BF36" i="25"/>
  <c r="Q37" i="25"/>
  <c r="R37" i="25"/>
  <c r="X37" i="25"/>
  <c r="Z37" i="25"/>
  <c r="AB37" i="25" s="1"/>
  <c r="AA37" i="25"/>
  <c r="AM37" i="25" s="1"/>
  <c r="BF37" i="25"/>
  <c r="BD37" i="25" s="1"/>
  <c r="BG37" i="25" s="1"/>
  <c r="BH37" i="25" s="1"/>
  <c r="BK37" i="25" s="1"/>
  <c r="BL37" i="25" s="1"/>
  <c r="BM37" i="25" s="1"/>
  <c r="BI37" i="25"/>
  <c r="BJ37" i="25"/>
  <c r="Q38" i="25"/>
  <c r="R38" i="25"/>
  <c r="X38" i="25"/>
  <c r="Z38" i="25" s="1"/>
  <c r="AB38" i="25" s="1"/>
  <c r="AA38" i="25"/>
  <c r="AM38" i="25"/>
  <c r="BF38" i="25"/>
  <c r="BD38" i="25" s="1"/>
  <c r="BG38" i="25" s="1"/>
  <c r="BH38" i="25" s="1"/>
  <c r="Q39" i="25"/>
  <c r="R39" i="25"/>
  <c r="X39" i="25"/>
  <c r="Z39" i="25"/>
  <c r="AB39" i="25" s="1"/>
  <c r="AA39" i="25"/>
  <c r="AM39" i="25"/>
  <c r="BF39" i="25"/>
  <c r="BD39" i="25" s="1"/>
  <c r="BG39" i="25" s="1"/>
  <c r="BH39" i="25" s="1"/>
  <c r="BI39" i="25"/>
  <c r="BJ39" i="25"/>
  <c r="BK39" i="25" s="1"/>
  <c r="BL39" i="25" s="1"/>
  <c r="BM39" i="25" s="1"/>
  <c r="Q40" i="25"/>
  <c r="R40" i="25"/>
  <c r="X40" i="25"/>
  <c r="Z40" i="25" s="1"/>
  <c r="AB40" i="25" s="1"/>
  <c r="AA40" i="25"/>
  <c r="AM40" i="25"/>
  <c r="BD40" i="25"/>
  <c r="BG40" i="25" s="1"/>
  <c r="BH40" i="25" s="1"/>
  <c r="BF40" i="25"/>
  <c r="BI40" i="25" s="1"/>
  <c r="Q41" i="25"/>
  <c r="R41" i="25"/>
  <c r="X41" i="25"/>
  <c r="Z41" i="25"/>
  <c r="AA41" i="25"/>
  <c r="AB41" i="25" s="1"/>
  <c r="BD41" i="25"/>
  <c r="BF41" i="25"/>
  <c r="BG41" i="25"/>
  <c r="BH41" i="25" s="1"/>
  <c r="BI41" i="25"/>
  <c r="Q42" i="25"/>
  <c r="R42" i="25"/>
  <c r="X42" i="25"/>
  <c r="Z42" i="25"/>
  <c r="AA42" i="25"/>
  <c r="AM42" i="25" s="1"/>
  <c r="BD42" i="25"/>
  <c r="BG42" i="25" s="1"/>
  <c r="BH42" i="25" s="1"/>
  <c r="BF42" i="25"/>
  <c r="BI42" i="25" s="1"/>
  <c r="Q43" i="25"/>
  <c r="R43" i="25"/>
  <c r="X43" i="25"/>
  <c r="Z43" i="25" s="1"/>
  <c r="AA43" i="25"/>
  <c r="BD43" i="25"/>
  <c r="BF43" i="25"/>
  <c r="BG43" i="25"/>
  <c r="BH43" i="25" s="1"/>
  <c r="BI43" i="25"/>
  <c r="Q44" i="25"/>
  <c r="R44" i="25"/>
  <c r="X44" i="25"/>
  <c r="Z44" i="25"/>
  <c r="AA44" i="25"/>
  <c r="AB44" i="25" s="1"/>
  <c r="AM44" i="25"/>
  <c r="BD44" i="25"/>
  <c r="BG44" i="25" s="1"/>
  <c r="BH44" i="25" s="1"/>
  <c r="BF44" i="25"/>
  <c r="Q45" i="25"/>
  <c r="R45" i="25"/>
  <c r="X45" i="25"/>
  <c r="Z45" i="25" s="1"/>
  <c r="AA45" i="25"/>
  <c r="AM45" i="25"/>
  <c r="BF45" i="25"/>
  <c r="BI45" i="25" s="1"/>
  <c r="BL1" i="24"/>
  <c r="BL2" i="24"/>
  <c r="BL3" i="24"/>
  <c r="BL4" i="24"/>
  <c r="BH22" i="24" s="1"/>
  <c r="BK22" i="24" s="1"/>
  <c r="BL22" i="24" s="1"/>
  <c r="BM22" i="24" s="1"/>
  <c r="AC5" i="24"/>
  <c r="BL5" i="24"/>
  <c r="BL6" i="24"/>
  <c r="BL7" i="24"/>
  <c r="BI19" i="24" s="1"/>
  <c r="BL8" i="24"/>
  <c r="Q13" i="24"/>
  <c r="R13" i="24"/>
  <c r="X13" i="24"/>
  <c r="Z13" i="24"/>
  <c r="AA13" i="24"/>
  <c r="AB13" i="24" s="1"/>
  <c r="AM13" i="24"/>
  <c r="BF13" i="24"/>
  <c r="BD13" i="24" s="1"/>
  <c r="Q14" i="24"/>
  <c r="R14" i="24"/>
  <c r="X14" i="24"/>
  <c r="Z14" i="24"/>
  <c r="AB14" i="24" s="1"/>
  <c r="AA14" i="24"/>
  <c r="AM14" i="24"/>
  <c r="BF14" i="24"/>
  <c r="BI14" i="24" s="1"/>
  <c r="Q15" i="24"/>
  <c r="R15" i="24"/>
  <c r="X15" i="24"/>
  <c r="Z15" i="24"/>
  <c r="AA15" i="24"/>
  <c r="AM15" i="24" s="1"/>
  <c r="AB15" i="24"/>
  <c r="BD15" i="24"/>
  <c r="BG15" i="24" s="1"/>
  <c r="BH15" i="24" s="1"/>
  <c r="BF15" i="24"/>
  <c r="Q16" i="24"/>
  <c r="R16" i="24"/>
  <c r="X16" i="24"/>
  <c r="Z16" i="24"/>
  <c r="AA16" i="24"/>
  <c r="AB16" i="24" s="1"/>
  <c r="BD16" i="24"/>
  <c r="BG16" i="24" s="1"/>
  <c r="BH16" i="24" s="1"/>
  <c r="BF16" i="24"/>
  <c r="Q17" i="24"/>
  <c r="R17" i="24"/>
  <c r="X17" i="24"/>
  <c r="Z17" i="24"/>
  <c r="AA17" i="24"/>
  <c r="AB17" i="24" s="1"/>
  <c r="BF17" i="24"/>
  <c r="BI17" i="24" s="1"/>
  <c r="Q18" i="24"/>
  <c r="R18" i="24"/>
  <c r="X18" i="24"/>
  <c r="Z18" i="24"/>
  <c r="AA18" i="24"/>
  <c r="AM18" i="24" s="1"/>
  <c r="AB18" i="24"/>
  <c r="BF18" i="24"/>
  <c r="BD18" i="24" s="1"/>
  <c r="BG18" i="24" s="1"/>
  <c r="BH18" i="24" s="1"/>
  <c r="Q19" i="24"/>
  <c r="R19" i="24"/>
  <c r="X19" i="24"/>
  <c r="Z19" i="24" s="1"/>
  <c r="AB19" i="24" s="1"/>
  <c r="AA19" i="24"/>
  <c r="AM19" i="24"/>
  <c r="BD19" i="24"/>
  <c r="BG19" i="24" s="1"/>
  <c r="BH19" i="24" s="1"/>
  <c r="BF19" i="24"/>
  <c r="Q20" i="24"/>
  <c r="R20" i="24"/>
  <c r="X20" i="24"/>
  <c r="Z20" i="24"/>
  <c r="AA20" i="24"/>
  <c r="AB20" i="24" s="1"/>
  <c r="BF20" i="24"/>
  <c r="BD20" i="24" s="1"/>
  <c r="BG20" i="24" s="1"/>
  <c r="BH20" i="24" s="1"/>
  <c r="Q21" i="24"/>
  <c r="R21" i="24"/>
  <c r="X21" i="24"/>
  <c r="Z21" i="24" s="1"/>
  <c r="AB21" i="24" s="1"/>
  <c r="AA21" i="24"/>
  <c r="AM21" i="24"/>
  <c r="BD21" i="24"/>
  <c r="BG21" i="24" s="1"/>
  <c r="BH21" i="24" s="1"/>
  <c r="BF21" i="24"/>
  <c r="Q22" i="24"/>
  <c r="R22" i="24"/>
  <c r="X22" i="24"/>
  <c r="Z22" i="24"/>
  <c r="AA22" i="24"/>
  <c r="AB22" i="24" s="1"/>
  <c r="BD22" i="24"/>
  <c r="BF22" i="24"/>
  <c r="BG22" i="24"/>
  <c r="BI22" i="24"/>
  <c r="BJ22" i="24"/>
  <c r="Q23" i="24"/>
  <c r="R23" i="24"/>
  <c r="X23" i="24"/>
  <c r="Z23" i="24"/>
  <c r="AA23" i="24"/>
  <c r="AM23" i="24" s="1"/>
  <c r="BD23" i="24"/>
  <c r="BG23" i="24" s="1"/>
  <c r="BH23" i="24" s="1"/>
  <c r="BF23" i="24"/>
  <c r="BI23" i="24" s="1"/>
  <c r="Q24" i="24"/>
  <c r="R24" i="24"/>
  <c r="X24" i="24"/>
  <c r="Z24" i="24"/>
  <c r="AA24" i="24"/>
  <c r="AB24" i="24" s="1"/>
  <c r="BD24" i="24"/>
  <c r="BF24" i="24"/>
  <c r="BG24" i="24"/>
  <c r="BI24" i="24"/>
  <c r="BJ24" i="24"/>
  <c r="Q25" i="24"/>
  <c r="R25" i="24"/>
  <c r="X25" i="24"/>
  <c r="Z25" i="24"/>
  <c r="AA25" i="24"/>
  <c r="AB25" i="24" s="1"/>
  <c r="AM25" i="24"/>
  <c r="BF25" i="24"/>
  <c r="BD25" i="24" s="1"/>
  <c r="BG25" i="24" s="1"/>
  <c r="BH25" i="24" s="1"/>
  <c r="BI25" i="24"/>
  <c r="Q26" i="24"/>
  <c r="R26" i="24"/>
  <c r="X26" i="24"/>
  <c r="Z26" i="24" s="1"/>
  <c r="AB26" i="24" s="1"/>
  <c r="AA26" i="24"/>
  <c r="AM26" i="24"/>
  <c r="BD26" i="24"/>
  <c r="BF26" i="24"/>
  <c r="BG26" i="24"/>
  <c r="BI26" i="24"/>
  <c r="BJ26" i="24"/>
  <c r="Q27" i="24"/>
  <c r="R27" i="24"/>
  <c r="X27" i="24"/>
  <c r="Z27" i="24"/>
  <c r="AA27" i="24"/>
  <c r="AB27" i="24" s="1"/>
  <c r="AM27" i="24"/>
  <c r="BF27" i="24"/>
  <c r="BD27" i="24" s="1"/>
  <c r="BG27" i="24" s="1"/>
  <c r="BH27" i="24" s="1"/>
  <c r="BI27" i="24"/>
  <c r="Q28" i="24"/>
  <c r="R28" i="24"/>
  <c r="X28" i="24"/>
  <c r="Z28" i="24" s="1"/>
  <c r="AA28" i="24"/>
  <c r="AM28" i="24"/>
  <c r="BF28" i="24"/>
  <c r="BI28" i="24" s="1"/>
  <c r="Q29" i="24"/>
  <c r="R29" i="24"/>
  <c r="X29" i="24"/>
  <c r="Z29" i="24" s="1"/>
  <c r="AB29" i="24" s="1"/>
  <c r="AA29" i="24"/>
  <c r="AM29" i="24"/>
  <c r="BF29" i="24"/>
  <c r="BD29" i="24" s="1"/>
  <c r="BG29" i="24" s="1"/>
  <c r="BH29" i="24" s="1"/>
  <c r="BI29" i="24"/>
  <c r="Q30" i="24"/>
  <c r="R30" i="24"/>
  <c r="X30" i="24"/>
  <c r="Z30" i="24" s="1"/>
  <c r="AA30" i="24"/>
  <c r="AB30" i="24" s="1"/>
  <c r="AM30" i="24"/>
  <c r="BF30" i="24"/>
  <c r="BI30" i="24" s="1"/>
  <c r="Q31" i="24"/>
  <c r="R31" i="24"/>
  <c r="X31" i="24"/>
  <c r="Z31" i="24" s="1"/>
  <c r="AA31" i="24"/>
  <c r="AM31" i="24" s="1"/>
  <c r="BF31" i="24"/>
  <c r="BD31" i="24" s="1"/>
  <c r="BG31" i="24" s="1"/>
  <c r="BH31" i="24" s="1"/>
  <c r="Q32" i="24"/>
  <c r="R32" i="24"/>
  <c r="X32" i="24"/>
  <c r="Z32" i="24" s="1"/>
  <c r="AB32" i="24" s="1"/>
  <c r="AA32" i="24"/>
  <c r="AM32" i="24"/>
  <c r="BF32" i="24"/>
  <c r="BI32" i="24" s="1"/>
  <c r="Q33" i="24"/>
  <c r="R33" i="24"/>
  <c r="X33" i="24"/>
  <c r="Z33" i="24" s="1"/>
  <c r="AA33" i="24"/>
  <c r="AM33" i="24" s="1"/>
  <c r="BF33" i="24"/>
  <c r="BD33" i="24" s="1"/>
  <c r="BG33" i="24" s="1"/>
  <c r="BH33" i="24" s="1"/>
  <c r="Q34" i="24"/>
  <c r="R34" i="24"/>
  <c r="X34" i="24"/>
  <c r="Z34" i="24" s="1"/>
  <c r="AB34" i="24" s="1"/>
  <c r="AA34" i="24"/>
  <c r="AM34" i="24"/>
  <c r="BF34" i="24"/>
  <c r="BI34" i="24" s="1"/>
  <c r="Q35" i="24"/>
  <c r="R35" i="24"/>
  <c r="X35" i="24"/>
  <c r="Z35" i="24" s="1"/>
  <c r="AB35" i="24" s="1"/>
  <c r="AA35" i="24"/>
  <c r="AM35" i="24" s="1"/>
  <c r="BF35" i="24"/>
  <c r="BD35" i="24" s="1"/>
  <c r="BG35" i="24" s="1"/>
  <c r="BH35" i="24" s="1"/>
  <c r="Q36" i="24"/>
  <c r="R36" i="24"/>
  <c r="X36" i="24"/>
  <c r="Z36" i="24"/>
  <c r="AB36" i="24" s="1"/>
  <c r="AA36" i="24"/>
  <c r="AM36" i="24"/>
  <c r="BF36" i="24"/>
  <c r="Q37" i="24"/>
  <c r="R37" i="24"/>
  <c r="X37" i="24"/>
  <c r="Z37" i="24" s="1"/>
  <c r="AB37" i="24" s="1"/>
  <c r="AA37" i="24"/>
  <c r="AM37" i="24" s="1"/>
  <c r="BD37" i="24"/>
  <c r="BG37" i="24" s="1"/>
  <c r="BH37" i="24" s="1"/>
  <c r="BF37" i="24"/>
  <c r="Q38" i="24"/>
  <c r="R38" i="24"/>
  <c r="X38" i="24"/>
  <c r="Z38" i="24"/>
  <c r="AA38" i="24"/>
  <c r="AB38" i="24" s="1"/>
  <c r="BF38" i="24"/>
  <c r="BD38" i="24" s="1"/>
  <c r="BG38" i="24" s="1"/>
  <c r="BH38" i="24" s="1"/>
  <c r="BL1" i="23"/>
  <c r="BL2" i="23"/>
  <c r="BL3" i="23"/>
  <c r="BL4" i="23"/>
  <c r="BL5" i="23"/>
  <c r="BL6" i="23"/>
  <c r="BL7" i="23"/>
  <c r="BL8" i="23"/>
  <c r="Q13" i="23"/>
  <c r="R13" i="23"/>
  <c r="X13" i="23"/>
  <c r="Z13" i="23"/>
  <c r="AB13" i="23" s="1"/>
  <c r="AA13" i="23"/>
  <c r="BD13" i="23"/>
  <c r="BF13" i="23"/>
  <c r="BJ13" i="23"/>
  <c r="Q14" i="23"/>
  <c r="R14" i="23"/>
  <c r="X14" i="23"/>
  <c r="Z14" i="23" s="1"/>
  <c r="AA14" i="23"/>
  <c r="BD14" i="23"/>
  <c r="BF14" i="23"/>
  <c r="BG14" i="23"/>
  <c r="BH14" i="23" s="1"/>
  <c r="BJ14" i="23"/>
  <c r="Q15" i="23"/>
  <c r="R15" i="23"/>
  <c r="X15" i="23"/>
  <c r="Z15" i="23"/>
  <c r="AA15" i="23"/>
  <c r="AB15" i="23" s="1"/>
  <c r="BD15" i="23"/>
  <c r="BG15" i="23" s="1"/>
  <c r="BH15" i="23" s="1"/>
  <c r="BF15" i="23"/>
  <c r="BJ15" i="23"/>
  <c r="Q16" i="23"/>
  <c r="R16" i="23"/>
  <c r="X16" i="23"/>
  <c r="Z16" i="23" s="1"/>
  <c r="AA16" i="23"/>
  <c r="BD16" i="23"/>
  <c r="BG16" i="23" s="1"/>
  <c r="BH16" i="23" s="1"/>
  <c r="BK16" i="23" s="1"/>
  <c r="BL16" i="23" s="1"/>
  <c r="BM16" i="23" s="1"/>
  <c r="BF16" i="23"/>
  <c r="BI16" i="23"/>
  <c r="BJ16" i="23"/>
  <c r="Q17" i="23"/>
  <c r="R17" i="23"/>
  <c r="X17" i="23"/>
  <c r="Z17" i="23" s="1"/>
  <c r="AA17" i="23"/>
  <c r="AM17" i="23"/>
  <c r="BF17" i="23"/>
  <c r="BD17" i="23" s="1"/>
  <c r="BG17" i="23" s="1"/>
  <c r="BH17" i="23" s="1"/>
  <c r="BJ17" i="23"/>
  <c r="Q18" i="23"/>
  <c r="R18" i="23"/>
  <c r="X18" i="23"/>
  <c r="Z18" i="23" s="1"/>
  <c r="AA18" i="23"/>
  <c r="AM18" i="23"/>
  <c r="BF18" i="23"/>
  <c r="Q19" i="23"/>
  <c r="R19" i="23"/>
  <c r="X19" i="23"/>
  <c r="Z19" i="23" s="1"/>
  <c r="AB19" i="23" s="1"/>
  <c r="AA19" i="23"/>
  <c r="AM19" i="23" s="1"/>
  <c r="BF19" i="23"/>
  <c r="BD19" i="23" s="1"/>
  <c r="BG19" i="23" s="1"/>
  <c r="BH19" i="23" s="1"/>
  <c r="BJ19" i="23"/>
  <c r="Q20" i="23"/>
  <c r="R20" i="23"/>
  <c r="X20" i="23"/>
  <c r="Z20" i="23" s="1"/>
  <c r="AA20" i="23"/>
  <c r="AB20" i="23" s="1"/>
  <c r="BF20" i="23"/>
  <c r="Q21" i="23"/>
  <c r="R21" i="23"/>
  <c r="X21" i="23"/>
  <c r="Z21" i="23" s="1"/>
  <c r="AA21" i="23"/>
  <c r="AM21" i="23" s="1"/>
  <c r="AB21" i="23"/>
  <c r="BF21" i="23"/>
  <c r="BD21" i="23" s="1"/>
  <c r="BG21" i="23" s="1"/>
  <c r="BH21" i="23" s="1"/>
  <c r="Q22" i="23"/>
  <c r="R22" i="23"/>
  <c r="X22" i="23"/>
  <c r="Z22" i="23"/>
  <c r="AA22" i="23"/>
  <c r="AM22" i="23" s="1"/>
  <c r="AB22" i="23"/>
  <c r="BF22" i="23"/>
  <c r="Q23" i="23"/>
  <c r="R23" i="23"/>
  <c r="X23" i="23"/>
  <c r="Z23" i="23"/>
  <c r="AA23" i="23"/>
  <c r="AM23" i="23" s="1"/>
  <c r="BF23" i="23"/>
  <c r="BD23" i="23" s="1"/>
  <c r="BG23" i="23" s="1"/>
  <c r="BH23" i="23" s="1"/>
  <c r="BJ23" i="23"/>
  <c r="Q24" i="23"/>
  <c r="R24" i="23"/>
  <c r="X24" i="23"/>
  <c r="Z24" i="23"/>
  <c r="AA24" i="23"/>
  <c r="AB24" i="23"/>
  <c r="AM24" i="23"/>
  <c r="BF24" i="23"/>
  <c r="Q25" i="23"/>
  <c r="R25" i="23"/>
  <c r="X25" i="23"/>
  <c r="Z25" i="23"/>
  <c r="AB25" i="23" s="1"/>
  <c r="AA25" i="23"/>
  <c r="AM25" i="23" s="1"/>
  <c r="BF25" i="23"/>
  <c r="BD25" i="23" s="1"/>
  <c r="BG25" i="23" s="1"/>
  <c r="BH25" i="23" s="1"/>
  <c r="BI25" i="23"/>
  <c r="BK25" i="23" s="1"/>
  <c r="BL25" i="23" s="1"/>
  <c r="BM25" i="23" s="1"/>
  <c r="BJ25" i="23"/>
  <c r="Q26" i="23"/>
  <c r="R26" i="23"/>
  <c r="X26" i="23"/>
  <c r="Z26" i="23"/>
  <c r="AA26" i="23"/>
  <c r="AB26" i="23"/>
  <c r="AM26" i="23"/>
  <c r="BD26" i="23"/>
  <c r="BG26" i="23" s="1"/>
  <c r="BH26" i="23" s="1"/>
  <c r="BF26" i="23"/>
  <c r="BJ26" i="23"/>
  <c r="Q27" i="23"/>
  <c r="R27" i="23"/>
  <c r="X27" i="23"/>
  <c r="Z27" i="23"/>
  <c r="AA27" i="23"/>
  <c r="AM27" i="23"/>
  <c r="BF27" i="23"/>
  <c r="BD27" i="23" s="1"/>
  <c r="BG27" i="23" s="1"/>
  <c r="BH27" i="23" s="1"/>
  <c r="BI27" i="23"/>
  <c r="BK27" i="23" s="1"/>
  <c r="BL27" i="23" s="1"/>
  <c r="BM27" i="23" s="1"/>
  <c r="BJ27" i="23"/>
  <c r="Q28" i="23"/>
  <c r="R28" i="23"/>
  <c r="X28" i="23"/>
  <c r="Z28" i="23"/>
  <c r="AA28" i="23"/>
  <c r="AB28" i="23"/>
  <c r="AM28" i="23"/>
  <c r="BD28" i="23"/>
  <c r="BG28" i="23" s="1"/>
  <c r="BH28" i="23" s="1"/>
  <c r="BF28" i="23"/>
  <c r="BJ28" i="23"/>
  <c r="Q29" i="23"/>
  <c r="R29" i="23"/>
  <c r="X29" i="23"/>
  <c r="Z29" i="23"/>
  <c r="AA29" i="23"/>
  <c r="AM29" i="23"/>
  <c r="BD29" i="23"/>
  <c r="BF29" i="23"/>
  <c r="BG29" i="23"/>
  <c r="BH29" i="23"/>
  <c r="BK29" i="23" s="1"/>
  <c r="BL29" i="23" s="1"/>
  <c r="BM29" i="23" s="1"/>
  <c r="BI29" i="23"/>
  <c r="BJ29" i="23"/>
  <c r="Q30" i="23"/>
  <c r="R30" i="23"/>
  <c r="X30" i="23"/>
  <c r="Z30" i="23"/>
  <c r="AA30" i="23"/>
  <c r="AB30" i="23" s="1"/>
  <c r="AM30" i="23"/>
  <c r="BF30" i="23"/>
  <c r="BD30" i="23" s="1"/>
  <c r="BG30" i="23" s="1"/>
  <c r="BH30" i="23" s="1"/>
  <c r="Q31" i="23"/>
  <c r="R31" i="23"/>
  <c r="X31" i="23"/>
  <c r="Z31" i="23" s="1"/>
  <c r="AB31" i="23" s="1"/>
  <c r="AA31" i="23"/>
  <c r="AM31" i="23"/>
  <c r="BD31" i="23"/>
  <c r="BG31" i="23" s="1"/>
  <c r="BH31" i="23" s="1"/>
  <c r="BF31" i="23"/>
  <c r="Q32" i="23"/>
  <c r="R32" i="23"/>
  <c r="X32" i="23"/>
  <c r="Z32" i="23" s="1"/>
  <c r="AB32" i="23" s="1"/>
  <c r="AA32" i="23"/>
  <c r="AM32" i="23" s="1"/>
  <c r="BF32" i="23"/>
  <c r="BD32" i="23" s="1"/>
  <c r="BG32" i="23" s="1"/>
  <c r="BH32" i="23" s="1"/>
  <c r="Q33" i="23"/>
  <c r="R33" i="23"/>
  <c r="X33" i="23"/>
  <c r="Z33" i="23" s="1"/>
  <c r="AB33" i="23" s="1"/>
  <c r="AA33" i="23"/>
  <c r="AM33" i="23"/>
  <c r="BF33" i="23"/>
  <c r="Q34" i="23"/>
  <c r="R34" i="23"/>
  <c r="X34" i="23"/>
  <c r="Z34" i="23" s="1"/>
  <c r="AA34" i="23"/>
  <c r="AM34" i="23" s="1"/>
  <c r="AB34" i="23"/>
  <c r="BD34" i="23"/>
  <c r="BF34" i="23"/>
  <c r="BG34" i="23"/>
  <c r="BH34" i="23" s="1"/>
  <c r="BJ34" i="23"/>
  <c r="Q35" i="23"/>
  <c r="R35" i="23"/>
  <c r="X35" i="23"/>
  <c r="Z35" i="23"/>
  <c r="AA35" i="23"/>
  <c r="AM35" i="23" s="1"/>
  <c r="BD35" i="23"/>
  <c r="BG35" i="23" s="1"/>
  <c r="BH35" i="23" s="1"/>
  <c r="BF35" i="23"/>
  <c r="Q36" i="23"/>
  <c r="R36" i="23"/>
  <c r="X36" i="23"/>
  <c r="Z36" i="23"/>
  <c r="AA36" i="23"/>
  <c r="AM36" i="23" s="1"/>
  <c r="BD36" i="23"/>
  <c r="BF36" i="23"/>
  <c r="BG36" i="23"/>
  <c r="BH36" i="23" s="1"/>
  <c r="BJ36" i="23"/>
  <c r="Q37" i="23"/>
  <c r="R37" i="23"/>
  <c r="X37" i="23"/>
  <c r="Z37" i="23"/>
  <c r="AA37" i="23"/>
  <c r="AB37" i="23" s="1"/>
  <c r="BD37" i="23"/>
  <c r="BG37" i="23" s="1"/>
  <c r="BH37" i="23" s="1"/>
  <c r="BF37" i="23"/>
  <c r="BI37" i="23" s="1"/>
  <c r="BJ37" i="23"/>
  <c r="Q38" i="23"/>
  <c r="R38" i="23"/>
  <c r="X38" i="23"/>
  <c r="Z38" i="23"/>
  <c r="AA38" i="23"/>
  <c r="BD38" i="23"/>
  <c r="BG38" i="23" s="1"/>
  <c r="BF38" i="23"/>
  <c r="BH38" i="23"/>
  <c r="BK38" i="23" s="1"/>
  <c r="BL38" i="23" s="1"/>
  <c r="BM38" i="23" s="1"/>
  <c r="BI38" i="23"/>
  <c r="BJ38" i="23"/>
  <c r="Q39" i="23"/>
  <c r="R39" i="23"/>
  <c r="X39" i="23"/>
  <c r="Z39" i="23" s="1"/>
  <c r="AA39" i="23"/>
  <c r="AM39" i="23"/>
  <c r="BF39" i="23"/>
  <c r="BD39" i="23" s="1"/>
  <c r="BG39" i="23" s="1"/>
  <c r="BH39" i="23" s="1"/>
  <c r="BJ39" i="23"/>
  <c r="Q40" i="23"/>
  <c r="R40" i="23"/>
  <c r="X40" i="23"/>
  <c r="Z40" i="23" s="1"/>
  <c r="AB40" i="23" s="1"/>
  <c r="AA40" i="23"/>
  <c r="AM40" i="23"/>
  <c r="BD40" i="23"/>
  <c r="BG40" i="23" s="1"/>
  <c r="BF40" i="23"/>
  <c r="BH40" i="23"/>
  <c r="BI40" i="23"/>
  <c r="BJ40" i="23"/>
  <c r="Q41" i="23"/>
  <c r="R41" i="23"/>
  <c r="X41" i="23"/>
  <c r="Z41" i="23" s="1"/>
  <c r="AA41" i="23"/>
  <c r="AB41" i="23" s="1"/>
  <c r="AM41" i="23"/>
  <c r="BF41" i="23"/>
  <c r="BD41" i="23" s="1"/>
  <c r="BG41" i="23" s="1"/>
  <c r="BH41" i="23" s="1"/>
  <c r="BJ41" i="23"/>
  <c r="Q42" i="23"/>
  <c r="R42" i="23"/>
  <c r="X42" i="23"/>
  <c r="Z42" i="23" s="1"/>
  <c r="AA42" i="23"/>
  <c r="BF42" i="23"/>
  <c r="Q43" i="23"/>
  <c r="R43" i="23"/>
  <c r="X43" i="23"/>
  <c r="Z43" i="23" s="1"/>
  <c r="AB43" i="23" s="1"/>
  <c r="AA43" i="23"/>
  <c r="AM43" i="23"/>
  <c r="BF43" i="23"/>
  <c r="BD43" i="23" s="1"/>
  <c r="BG43" i="23" s="1"/>
  <c r="BH43" i="23" s="1"/>
  <c r="BJ43" i="23"/>
  <c r="Q44" i="23"/>
  <c r="R44" i="23"/>
  <c r="X44" i="23"/>
  <c r="Z44" i="23" s="1"/>
  <c r="AB44" i="23" s="1"/>
  <c r="AA44" i="23"/>
  <c r="AM44" i="23"/>
  <c r="BF44" i="23"/>
  <c r="Q45" i="23"/>
  <c r="R45" i="23"/>
  <c r="X45" i="23"/>
  <c r="Z45" i="23" s="1"/>
  <c r="AA45" i="23"/>
  <c r="AB45" i="23"/>
  <c r="AM45" i="23"/>
  <c r="BD45" i="23"/>
  <c r="BG45" i="23" s="1"/>
  <c r="BH45" i="23" s="1"/>
  <c r="BF45" i="23"/>
  <c r="BI45" i="23" s="1"/>
  <c r="Q46" i="23"/>
  <c r="R46" i="23"/>
  <c r="X46" i="23"/>
  <c r="Z46" i="23"/>
  <c r="AA46" i="23"/>
  <c r="AM46" i="23" s="1"/>
  <c r="BF46" i="23"/>
  <c r="BI46" i="23" s="1"/>
  <c r="Q47" i="23"/>
  <c r="R47" i="23"/>
  <c r="X47" i="23"/>
  <c r="Z47" i="23" s="1"/>
  <c r="AA47" i="23"/>
  <c r="AB47" i="23"/>
  <c r="AM47" i="23"/>
  <c r="BD47" i="23"/>
  <c r="BG47" i="23" s="1"/>
  <c r="BH47" i="23" s="1"/>
  <c r="BF47" i="23"/>
  <c r="Q48" i="23"/>
  <c r="R48" i="23"/>
  <c r="X48" i="23"/>
  <c r="Z48" i="23" s="1"/>
  <c r="AA48" i="23"/>
  <c r="AM48" i="23" s="1"/>
  <c r="BF48" i="23"/>
  <c r="BD48" i="23" s="1"/>
  <c r="BG48" i="23" s="1"/>
  <c r="BH48" i="23" s="1"/>
  <c r="BK48" i="23" s="1"/>
  <c r="BL48" i="23" s="1"/>
  <c r="BM48" i="23" s="1"/>
  <c r="BI48" i="23"/>
  <c r="BJ48" i="23"/>
  <c r="Q49" i="23"/>
  <c r="R49" i="23"/>
  <c r="X49" i="23"/>
  <c r="Z49" i="23"/>
  <c r="AA49" i="23"/>
  <c r="AB49" i="23"/>
  <c r="AM49" i="23"/>
  <c r="BD49" i="23"/>
  <c r="BG49" i="23" s="1"/>
  <c r="BH49" i="23" s="1"/>
  <c r="BK49" i="23" s="1"/>
  <c r="BL49" i="23" s="1"/>
  <c r="BM49" i="23" s="1"/>
  <c r="BF49" i="23"/>
  <c r="BI49" i="23"/>
  <c r="BJ49" i="23"/>
  <c r="Q50" i="23"/>
  <c r="R50" i="23"/>
  <c r="X50" i="23"/>
  <c r="Z50" i="23"/>
  <c r="AA50" i="23"/>
  <c r="AB50" i="23" s="1"/>
  <c r="BF50" i="23"/>
  <c r="BD50" i="23" s="1"/>
  <c r="BG50" i="23" s="1"/>
  <c r="BH50" i="23" s="1"/>
  <c r="BK50" i="23" s="1"/>
  <c r="BL50" i="23" s="1"/>
  <c r="BM50" i="23" s="1"/>
  <c r="BI50" i="23"/>
  <c r="BJ50" i="23"/>
  <c r="Q51" i="23"/>
  <c r="R51" i="23"/>
  <c r="X51" i="23"/>
  <c r="Z51" i="23"/>
  <c r="AA51" i="23"/>
  <c r="AB51" i="23"/>
  <c r="AM51" i="23"/>
  <c r="BD51" i="23"/>
  <c r="BG51" i="23" s="1"/>
  <c r="BH51" i="23" s="1"/>
  <c r="BK51" i="23" s="1"/>
  <c r="BL51" i="23" s="1"/>
  <c r="BM51" i="23" s="1"/>
  <c r="BF51" i="23"/>
  <c r="BI51" i="23"/>
  <c r="BJ51" i="23"/>
  <c r="Q52" i="23"/>
  <c r="R52" i="23"/>
  <c r="X52" i="23"/>
  <c r="Z52" i="23" s="1"/>
  <c r="AA52" i="23"/>
  <c r="AB52" i="23" s="1"/>
  <c r="BF52" i="23"/>
  <c r="BI52" i="23" s="1"/>
  <c r="BJ52" i="23"/>
  <c r="Q53" i="23"/>
  <c r="R53" i="23"/>
  <c r="X53" i="23"/>
  <c r="Z53" i="23"/>
  <c r="AA53" i="23"/>
  <c r="AM53" i="23" s="1"/>
  <c r="BD53" i="23"/>
  <c r="BG53" i="23" s="1"/>
  <c r="BH53" i="23" s="1"/>
  <c r="BK53" i="23" s="1"/>
  <c r="BL53" i="23" s="1"/>
  <c r="BM53" i="23" s="1"/>
  <c r="BF53" i="23"/>
  <c r="BI53" i="23"/>
  <c r="BJ53" i="23"/>
  <c r="Q54" i="23"/>
  <c r="R54" i="23"/>
  <c r="X54" i="23"/>
  <c r="Z54" i="23" s="1"/>
  <c r="AA54" i="23"/>
  <c r="BF54" i="23"/>
  <c r="BI54" i="23" s="1"/>
  <c r="BL1" i="22"/>
  <c r="BL2" i="22"/>
  <c r="BL3" i="22"/>
  <c r="BL4" i="22"/>
  <c r="AC5" i="22"/>
  <c r="BL5" i="22"/>
  <c r="BL6" i="22"/>
  <c r="BL7" i="22"/>
  <c r="BL8" i="22"/>
  <c r="Q13" i="22"/>
  <c r="R13" i="22"/>
  <c r="X13" i="22"/>
  <c r="Z13" i="22"/>
  <c r="AA13" i="22"/>
  <c r="AM13" i="22" s="1"/>
  <c r="AB13" i="22"/>
  <c r="BF13" i="22"/>
  <c r="BD13" i="22" s="1"/>
  <c r="BJ13" i="22"/>
  <c r="Q14" i="22"/>
  <c r="R14" i="22"/>
  <c r="X14" i="22"/>
  <c r="Z14" i="22"/>
  <c r="AA14" i="22"/>
  <c r="AB14" i="22" s="1"/>
  <c r="AM14" i="22"/>
  <c r="BD14" i="22"/>
  <c r="BG14" i="22" s="1"/>
  <c r="BH14" i="22" s="1"/>
  <c r="BF14" i="22"/>
  <c r="BJ14" i="22"/>
  <c r="Q15" i="22"/>
  <c r="R15" i="22"/>
  <c r="X15" i="22"/>
  <c r="Z15" i="22"/>
  <c r="AA15" i="22"/>
  <c r="AB15" i="22" s="1"/>
  <c r="AM15" i="22"/>
  <c r="BD15" i="22"/>
  <c r="BF15" i="22"/>
  <c r="BG15" i="22"/>
  <c r="BH15" i="22"/>
  <c r="BJ15" i="22"/>
  <c r="Q16" i="22"/>
  <c r="R16" i="22"/>
  <c r="X16" i="22"/>
  <c r="Z16" i="22" s="1"/>
  <c r="AA16" i="22"/>
  <c r="AM16" i="22" s="1"/>
  <c r="BF16" i="22"/>
  <c r="BD16" i="22" s="1"/>
  <c r="BG16" i="22" s="1"/>
  <c r="BH16" i="22" s="1"/>
  <c r="BJ16" i="22"/>
  <c r="Q17" i="22"/>
  <c r="R17" i="22"/>
  <c r="X17" i="22"/>
  <c r="Z17" i="22"/>
  <c r="AA17" i="22"/>
  <c r="AM17" i="22" s="1"/>
  <c r="AB17" i="22"/>
  <c r="BD17" i="22"/>
  <c r="BG17" i="22" s="1"/>
  <c r="BH17" i="22" s="1"/>
  <c r="BK17" i="22" s="1"/>
  <c r="BL17" i="22" s="1"/>
  <c r="BM17" i="22" s="1"/>
  <c r="BQ17" i="22" s="1"/>
  <c r="BF17" i="22"/>
  <c r="BI17" i="22" s="1"/>
  <c r="BJ17" i="22"/>
  <c r="Q18" i="22"/>
  <c r="R18" i="22"/>
  <c r="X18" i="22"/>
  <c r="Z18" i="22"/>
  <c r="AA18" i="22"/>
  <c r="BD18" i="22"/>
  <c r="BG18" i="22" s="1"/>
  <c r="BH18" i="22" s="1"/>
  <c r="BF18" i="22"/>
  <c r="BI18" i="22"/>
  <c r="BJ18" i="22"/>
  <c r="Q19" i="22"/>
  <c r="R19" i="22"/>
  <c r="X19" i="22"/>
  <c r="Z19" i="22"/>
  <c r="AA19" i="22"/>
  <c r="AM19" i="22" s="1"/>
  <c r="BD19" i="22"/>
  <c r="BG19" i="22" s="1"/>
  <c r="BH19" i="22" s="1"/>
  <c r="BK19" i="22" s="1"/>
  <c r="BL19" i="22" s="1"/>
  <c r="BM19" i="22" s="1"/>
  <c r="BQ19" i="22" s="1"/>
  <c r="BF19" i="22"/>
  <c r="BI19" i="22" s="1"/>
  <c r="BJ19" i="22"/>
  <c r="Q20" i="22"/>
  <c r="R20" i="22"/>
  <c r="X20" i="22"/>
  <c r="Z20" i="22"/>
  <c r="AA20" i="22"/>
  <c r="BF20" i="22"/>
  <c r="BD20" i="22" s="1"/>
  <c r="BG20" i="22" s="1"/>
  <c r="BH20" i="22" s="1"/>
  <c r="BJ20" i="22"/>
  <c r="Q21" i="22"/>
  <c r="R21" i="22"/>
  <c r="X21" i="22"/>
  <c r="Z21" i="22"/>
  <c r="AA21" i="22"/>
  <c r="AB21" i="22"/>
  <c r="AM21" i="22"/>
  <c r="BF21" i="22"/>
  <c r="BD21" i="22" s="1"/>
  <c r="BG21" i="22" s="1"/>
  <c r="BH21" i="22" s="1"/>
  <c r="BJ21" i="22"/>
  <c r="Q22" i="22"/>
  <c r="R22" i="22"/>
  <c r="X22" i="22"/>
  <c r="Z22" i="22" s="1"/>
  <c r="AB22" i="22" s="1"/>
  <c r="AA22" i="22"/>
  <c r="AM22" i="22"/>
  <c r="BF22" i="22"/>
  <c r="BD22" i="22" s="1"/>
  <c r="BG22" i="22" s="1"/>
  <c r="BH22" i="22" s="1"/>
  <c r="BI22" i="22"/>
  <c r="BJ22" i="22"/>
  <c r="Q23" i="22"/>
  <c r="R23" i="22"/>
  <c r="X23" i="22"/>
  <c r="Z23" i="22"/>
  <c r="AA23" i="22"/>
  <c r="AB23" i="22"/>
  <c r="AM23" i="22"/>
  <c r="BD23" i="22"/>
  <c r="BG23" i="22" s="1"/>
  <c r="BH23" i="22" s="1"/>
  <c r="BF23" i="22"/>
  <c r="BJ23" i="22"/>
  <c r="Q24" i="22"/>
  <c r="R24" i="22"/>
  <c r="X24" i="22"/>
  <c r="Z24" i="22" s="1"/>
  <c r="AA24" i="22"/>
  <c r="AB24" i="22" s="1"/>
  <c r="AM24" i="22"/>
  <c r="BF24" i="22"/>
  <c r="Q25" i="22"/>
  <c r="R25" i="22"/>
  <c r="X25" i="22"/>
  <c r="Z25" i="22"/>
  <c r="AA25" i="22"/>
  <c r="AB25" i="22"/>
  <c r="AM25" i="22"/>
  <c r="BD25" i="22"/>
  <c r="BF25" i="22"/>
  <c r="BG25" i="22"/>
  <c r="BH25" i="22" s="1"/>
  <c r="BJ25" i="22"/>
  <c r="Q26" i="22"/>
  <c r="R26" i="22"/>
  <c r="X26" i="22"/>
  <c r="Z26" i="22" s="1"/>
  <c r="AA26" i="22"/>
  <c r="AB26" i="22" s="1"/>
  <c r="AM26" i="22"/>
  <c r="BF26" i="22"/>
  <c r="BI26" i="22" s="1"/>
  <c r="Q27" i="22"/>
  <c r="R27" i="22"/>
  <c r="X27" i="22"/>
  <c r="Z27" i="22"/>
  <c r="AA27" i="22"/>
  <c r="AM27" i="22" s="1"/>
  <c r="AB27" i="22"/>
  <c r="BD27" i="22"/>
  <c r="BG27" i="22" s="1"/>
  <c r="BH27" i="22" s="1"/>
  <c r="BF27" i="22"/>
  <c r="BJ27" i="22" s="1"/>
  <c r="Q28" i="22"/>
  <c r="R28" i="22"/>
  <c r="X28" i="22"/>
  <c r="Z28" i="22" s="1"/>
  <c r="AA28" i="22"/>
  <c r="AM28" i="22" s="1"/>
  <c r="BF28" i="22"/>
  <c r="BI28" i="22" s="1"/>
  <c r="Q29" i="22"/>
  <c r="R29" i="22"/>
  <c r="X29" i="22"/>
  <c r="Z29" i="22"/>
  <c r="AA29" i="22"/>
  <c r="AM29" i="22" s="1"/>
  <c r="AB29" i="22"/>
  <c r="BD29" i="22"/>
  <c r="BG29" i="22" s="1"/>
  <c r="BH29" i="22" s="1"/>
  <c r="BF29" i="22"/>
  <c r="BJ29" i="22" s="1"/>
  <c r="Q30" i="22"/>
  <c r="R30" i="22"/>
  <c r="X30" i="22"/>
  <c r="Z30" i="22" s="1"/>
  <c r="AA30" i="22"/>
  <c r="AM30" i="22"/>
  <c r="BD30" i="22"/>
  <c r="BG30" i="22" s="1"/>
  <c r="BH30" i="22" s="1"/>
  <c r="BF30" i="22"/>
  <c r="Q31" i="22"/>
  <c r="R31" i="22"/>
  <c r="X31" i="22"/>
  <c r="Z31" i="22"/>
  <c r="AA31" i="22"/>
  <c r="AM31" i="22" s="1"/>
  <c r="AB31" i="22"/>
  <c r="BD31" i="22"/>
  <c r="BG31" i="22" s="1"/>
  <c r="BH31" i="22" s="1"/>
  <c r="BF31" i="22"/>
  <c r="BJ31" i="22" s="1"/>
  <c r="Q32" i="22"/>
  <c r="R32" i="22"/>
  <c r="X32" i="22"/>
  <c r="Z32" i="22" s="1"/>
  <c r="AA32" i="22"/>
  <c r="AB32" i="22" s="1"/>
  <c r="AM32" i="22"/>
  <c r="BD32" i="22"/>
  <c r="BG32" i="22" s="1"/>
  <c r="BH32" i="22" s="1"/>
  <c r="BF32" i="22"/>
  <c r="Q33" i="22"/>
  <c r="R33" i="22"/>
  <c r="X33" i="22"/>
  <c r="Z33" i="22"/>
  <c r="AA33" i="22"/>
  <c r="AM33" i="22" s="1"/>
  <c r="AB33" i="22"/>
  <c r="BD33" i="22"/>
  <c r="BF33" i="22"/>
  <c r="BG33" i="22"/>
  <c r="BH33" i="22" s="1"/>
  <c r="BJ33" i="22"/>
  <c r="Q34" i="22"/>
  <c r="R34" i="22"/>
  <c r="X34" i="22"/>
  <c r="Z34" i="22" s="1"/>
  <c r="AA34" i="22"/>
  <c r="AM34" i="22" s="1"/>
  <c r="BD34" i="22"/>
  <c r="BG34" i="22" s="1"/>
  <c r="BH34" i="22" s="1"/>
  <c r="BF34" i="22"/>
  <c r="Q35" i="22"/>
  <c r="R35" i="22"/>
  <c r="X35" i="22"/>
  <c r="Z35" i="22"/>
  <c r="AA35" i="22"/>
  <c r="AM35" i="22" s="1"/>
  <c r="AB35" i="22"/>
  <c r="BD35" i="22"/>
  <c r="BF35" i="22"/>
  <c r="BG35" i="22"/>
  <c r="BH35" i="22" s="1"/>
  <c r="BJ35" i="22"/>
  <c r="Q36" i="22"/>
  <c r="R36" i="22"/>
  <c r="X36" i="22"/>
  <c r="Z36" i="22" s="1"/>
  <c r="AA36" i="22"/>
  <c r="AM36" i="22"/>
  <c r="BF36" i="22"/>
  <c r="BD36" i="22" s="1"/>
  <c r="BG36" i="22" s="1"/>
  <c r="BH36" i="22" s="1"/>
  <c r="BJ36" i="22"/>
  <c r="Q37" i="22"/>
  <c r="R37" i="22"/>
  <c r="X37" i="22"/>
  <c r="Z37" i="22" s="1"/>
  <c r="AB37" i="22" s="1"/>
  <c r="AA37" i="22"/>
  <c r="AM37" i="22"/>
  <c r="BD37" i="22"/>
  <c r="BF37" i="22"/>
  <c r="BG37" i="22"/>
  <c r="BH37" i="22" s="1"/>
  <c r="BJ37" i="22"/>
  <c r="Q38" i="22"/>
  <c r="R38" i="22"/>
  <c r="X38" i="22"/>
  <c r="Z38" i="22" s="1"/>
  <c r="AA38" i="22"/>
  <c r="AB38" i="22" s="1"/>
  <c r="AM38" i="22"/>
  <c r="BF38" i="22"/>
  <c r="BD38" i="22" s="1"/>
  <c r="BG38" i="22" s="1"/>
  <c r="BH38" i="22" s="1"/>
  <c r="BJ38" i="22"/>
  <c r="Q39" i="22"/>
  <c r="R39" i="22"/>
  <c r="X39" i="22"/>
  <c r="Z39" i="22"/>
  <c r="AB39" i="22" s="1"/>
  <c r="AA39" i="22"/>
  <c r="AM39" i="22"/>
  <c r="BD39" i="22"/>
  <c r="BF39" i="22"/>
  <c r="BG39" i="22"/>
  <c r="BH39" i="22"/>
  <c r="BK39" i="22" s="1"/>
  <c r="BL39" i="22" s="1"/>
  <c r="BM39" i="22" s="1"/>
  <c r="BI39" i="22"/>
  <c r="BJ39" i="22"/>
  <c r="Q40" i="22"/>
  <c r="R40" i="22"/>
  <c r="X40" i="22"/>
  <c r="Z40" i="22" s="1"/>
  <c r="AA40" i="22"/>
  <c r="AB40" i="22" s="1"/>
  <c r="AM40" i="22"/>
  <c r="BF40" i="22"/>
  <c r="BD40" i="22" s="1"/>
  <c r="BG40" i="22" s="1"/>
  <c r="BH40" i="22" s="1"/>
  <c r="BJ40" i="22"/>
  <c r="AA43" i="22"/>
  <c r="AB43" i="22"/>
  <c r="AC43" i="22" s="1"/>
  <c r="BD43" i="22"/>
  <c r="BE43" i="22" s="1"/>
  <c r="BF43" i="22" s="1"/>
  <c r="BG43" i="22" s="1"/>
  <c r="BH43" i="22" s="1"/>
  <c r="BU43" i="22" s="1"/>
  <c r="BV43" i="22" s="1"/>
  <c r="AA44" i="22"/>
  <c r="AB44" i="22"/>
  <c r="AC44" i="22" s="1"/>
  <c r="BD44" i="22"/>
  <c r="BE44" i="22" s="1"/>
  <c r="BF44" i="22" s="1"/>
  <c r="BG44" i="22" s="1"/>
  <c r="BH44" i="22" s="1"/>
  <c r="BU44" i="22" s="1"/>
  <c r="BV44" i="22" s="1"/>
  <c r="AY20" i="13"/>
  <c r="AY21" i="13"/>
  <c r="AY19" i="13"/>
  <c r="AY18" i="13"/>
  <c r="AY17" i="13"/>
  <c r="AY16" i="13"/>
  <c r="CE57" i="13"/>
  <c r="CE56" i="13"/>
  <c r="CE55" i="13"/>
  <c r="CE54" i="13"/>
  <c r="CE53" i="13"/>
  <c r="CE52" i="13"/>
  <c r="CE51" i="13"/>
  <c r="CE50" i="13"/>
  <c r="CE49" i="13"/>
  <c r="CE48" i="13"/>
  <c r="CE47" i="13"/>
  <c r="CE46" i="13"/>
  <c r="CE45" i="13"/>
  <c r="CE44" i="13"/>
  <c r="CE43" i="13"/>
  <c r="CE42" i="13"/>
  <c r="CE41" i="13"/>
  <c r="CE40" i="13"/>
  <c r="CE30" i="13"/>
  <c r="CE29" i="13"/>
  <c r="CE28" i="13"/>
  <c r="CE27" i="13"/>
  <c r="CE26" i="13"/>
  <c r="CE25" i="13"/>
  <c r="CE24" i="13"/>
  <c r="CE23" i="13"/>
  <c r="CE22" i="13"/>
  <c r="CE21" i="13"/>
  <c r="CE20" i="13"/>
  <c r="CE19" i="13"/>
  <c r="CE18" i="13"/>
  <c r="CE17" i="13"/>
  <c r="CE16" i="13"/>
  <c r="CE15" i="13"/>
  <c r="CE14" i="13"/>
  <c r="CE13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55" i="13"/>
  <c r="S56" i="13"/>
  <c r="S57" i="13"/>
  <c r="S54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AF27" i="21"/>
  <c r="O27" i="21"/>
  <c r="AF26" i="21"/>
  <c r="O26" i="21"/>
  <c r="AF25" i="21"/>
  <c r="AD25" i="21"/>
  <c r="AB25" i="21"/>
  <c r="Y25" i="21"/>
  <c r="Z25" i="21" s="1"/>
  <c r="O25" i="21"/>
  <c r="AF24" i="21"/>
  <c r="O24" i="21"/>
  <c r="AF23" i="21"/>
  <c r="O23" i="21"/>
  <c r="AF22" i="21"/>
  <c r="AD22" i="21"/>
  <c r="AB22" i="21"/>
  <c r="Y22" i="21"/>
  <c r="Z22" i="21" s="1"/>
  <c r="O22" i="21"/>
  <c r="AF21" i="21"/>
  <c r="O21" i="21"/>
  <c r="AF20" i="21"/>
  <c r="O20" i="21"/>
  <c r="AF19" i="21"/>
  <c r="AD19" i="21"/>
  <c r="AB19" i="21"/>
  <c r="Y19" i="21"/>
  <c r="Z19" i="21" s="1"/>
  <c r="O19" i="21"/>
  <c r="AF18" i="21"/>
  <c r="O18" i="21"/>
  <c r="AF17" i="21"/>
  <c r="O17" i="21"/>
  <c r="AF16" i="21"/>
  <c r="AD16" i="21"/>
  <c r="AB16" i="21"/>
  <c r="Y16" i="21"/>
  <c r="Z16" i="21" s="1"/>
  <c r="O16" i="21"/>
  <c r="AF15" i="21"/>
  <c r="O15" i="21"/>
  <c r="AF14" i="21"/>
  <c r="O14" i="21"/>
  <c r="AF13" i="21"/>
  <c r="AD13" i="21"/>
  <c r="AB13" i="21"/>
  <c r="Y13" i="21"/>
  <c r="Z13" i="21" s="1"/>
  <c r="O13" i="21"/>
  <c r="AG19" i="21" l="1"/>
  <c r="AG25" i="21"/>
  <c r="BN39" i="25"/>
  <c r="BO39" i="25" s="1"/>
  <c r="BP39" i="25" s="1"/>
  <c r="BQ39" i="25"/>
  <c r="BN37" i="25"/>
  <c r="BO37" i="25" s="1"/>
  <c r="BP37" i="25" s="1"/>
  <c r="BS37" i="25" s="1"/>
  <c r="BT37" i="25" s="1"/>
  <c r="BU37" i="25" s="1"/>
  <c r="BV37" i="25" s="1"/>
  <c r="H37" i="25" s="1"/>
  <c r="AN37" i="25" s="1"/>
  <c r="BQ37" i="25"/>
  <c r="BK43" i="25"/>
  <c r="BL43" i="25" s="1"/>
  <c r="BM43" i="25" s="1"/>
  <c r="BK15" i="25"/>
  <c r="BL15" i="25" s="1"/>
  <c r="BM15" i="25" s="1"/>
  <c r="BN15" i="25" s="1"/>
  <c r="BO15" i="25" s="1"/>
  <c r="BP15" i="25" s="1"/>
  <c r="BK41" i="25"/>
  <c r="BL41" i="25" s="1"/>
  <c r="BM41" i="25" s="1"/>
  <c r="BR41" i="25" s="1"/>
  <c r="BI19" i="25"/>
  <c r="BD19" i="25"/>
  <c r="BG19" i="25" s="1"/>
  <c r="BH19" i="25" s="1"/>
  <c r="BI17" i="25"/>
  <c r="BD17" i="25"/>
  <c r="BG17" i="25" s="1"/>
  <c r="BH17" i="25" s="1"/>
  <c r="BK17" i="25" s="1"/>
  <c r="BL17" i="25" s="1"/>
  <c r="BM17" i="25" s="1"/>
  <c r="BD45" i="25"/>
  <c r="BG45" i="25" s="1"/>
  <c r="BH45" i="25" s="1"/>
  <c r="BD34" i="25"/>
  <c r="BG34" i="25" s="1"/>
  <c r="BH34" i="25" s="1"/>
  <c r="BK34" i="25" s="1"/>
  <c r="BL34" i="25" s="1"/>
  <c r="BM34" i="25" s="1"/>
  <c r="BJ41" i="25"/>
  <c r="BJ43" i="25"/>
  <c r="BJ22" i="25"/>
  <c r="BJ28" i="25"/>
  <c r="BJ30" i="25"/>
  <c r="BR42" i="25"/>
  <c r="BJ18" i="25"/>
  <c r="BJ17" i="25"/>
  <c r="BJ19" i="25"/>
  <c r="BJ45" i="25"/>
  <c r="BJ14" i="25"/>
  <c r="BJ32" i="25"/>
  <c r="BJ34" i="25"/>
  <c r="BJ36" i="25"/>
  <c r="BJ20" i="25"/>
  <c r="BJ21" i="25"/>
  <c r="BK21" i="25" s="1"/>
  <c r="BL21" i="25" s="1"/>
  <c r="BM21" i="25" s="1"/>
  <c r="BJ23" i="25"/>
  <c r="BJ25" i="25"/>
  <c r="BR29" i="25"/>
  <c r="BR18" i="25"/>
  <c r="BJ38" i="25"/>
  <c r="BJ40" i="25"/>
  <c r="BK40" i="25" s="1"/>
  <c r="BL40" i="25" s="1"/>
  <c r="BM40" i="25" s="1"/>
  <c r="BJ42" i="25"/>
  <c r="BJ27" i="25"/>
  <c r="BR35" i="25"/>
  <c r="BR37" i="25"/>
  <c r="BR39" i="25"/>
  <c r="BJ16" i="25"/>
  <c r="BJ44" i="25"/>
  <c r="BK44" i="25" s="1"/>
  <c r="BL44" i="25" s="1"/>
  <c r="BM44" i="25" s="1"/>
  <c r="BR30" i="25"/>
  <c r="BJ13" i="25"/>
  <c r="BJ29" i="25"/>
  <c r="BJ31" i="25"/>
  <c r="BJ33" i="25"/>
  <c r="BK42" i="25"/>
  <c r="BL42" i="25" s="1"/>
  <c r="BM42" i="25" s="1"/>
  <c r="BI15" i="25"/>
  <c r="BI23" i="25"/>
  <c r="BK23" i="25" s="1"/>
  <c r="BL23" i="25" s="1"/>
  <c r="BM23" i="25" s="1"/>
  <c r="BI16" i="25"/>
  <c r="BK16" i="25" s="1"/>
  <c r="BL16" i="25" s="1"/>
  <c r="BM16" i="25" s="1"/>
  <c r="BI44" i="25"/>
  <c r="BI13" i="25"/>
  <c r="BI29" i="25"/>
  <c r="BK29" i="25" s="1"/>
  <c r="BL29" i="25" s="1"/>
  <c r="BM29" i="25" s="1"/>
  <c r="BI31" i="25"/>
  <c r="BK31" i="25" s="1"/>
  <c r="BL31" i="25" s="1"/>
  <c r="BM31" i="25" s="1"/>
  <c r="BI18" i="25"/>
  <c r="BK18" i="25" s="1"/>
  <c r="BL18" i="25" s="1"/>
  <c r="BM18" i="25" s="1"/>
  <c r="BI20" i="25"/>
  <c r="BI22" i="25"/>
  <c r="BN35" i="25"/>
  <c r="BO35" i="25" s="1"/>
  <c r="BP35" i="25" s="1"/>
  <c r="BS35" i="25" s="1"/>
  <c r="BT35" i="25" s="1"/>
  <c r="BU35" i="25" s="1"/>
  <c r="BV35" i="25" s="1"/>
  <c r="H35" i="25" s="1"/>
  <c r="AN35" i="25" s="1"/>
  <c r="BQ35" i="25"/>
  <c r="AB45" i="25"/>
  <c r="AB35" i="25"/>
  <c r="AC35" i="25" s="1"/>
  <c r="BD32" i="25"/>
  <c r="BG32" i="25" s="1"/>
  <c r="BH32" i="25" s="1"/>
  <c r="BI25" i="25"/>
  <c r="BI24" i="25"/>
  <c r="BI14" i="25"/>
  <c r="BK14" i="25" s="1"/>
  <c r="BL14" i="25" s="1"/>
  <c r="BM14" i="25" s="1"/>
  <c r="BK25" i="25"/>
  <c r="BL25" i="25" s="1"/>
  <c r="BM25" i="25" s="1"/>
  <c r="AB23" i="25"/>
  <c r="AB21" i="25"/>
  <c r="AB19" i="25"/>
  <c r="AB43" i="25"/>
  <c r="BK24" i="25"/>
  <c r="BL24" i="25" s="1"/>
  <c r="BM24" i="25" s="1"/>
  <c r="BR24" i="25" s="1"/>
  <c r="AB22" i="25"/>
  <c r="AM22" i="25"/>
  <c r="AB24" i="25"/>
  <c r="AM24" i="25"/>
  <c r="BG13" i="25"/>
  <c r="BH13" i="25" s="1"/>
  <c r="BK27" i="25"/>
  <c r="BL27" i="25" s="1"/>
  <c r="BM27" i="25" s="1"/>
  <c r="BK26" i="25"/>
  <c r="BL26" i="25" s="1"/>
  <c r="BM26" i="25" s="1"/>
  <c r="BR26" i="25" s="1"/>
  <c r="AB26" i="25"/>
  <c r="AM26" i="25"/>
  <c r="BI36" i="25"/>
  <c r="BK36" i="25" s="1"/>
  <c r="BL36" i="25" s="1"/>
  <c r="BM36" i="25" s="1"/>
  <c r="AB42" i="25"/>
  <c r="BD30" i="25"/>
  <c r="BG30" i="25" s="1"/>
  <c r="BH30" i="25" s="1"/>
  <c r="BK30" i="25" s="1"/>
  <c r="BL30" i="25" s="1"/>
  <c r="BM30" i="25" s="1"/>
  <c r="BD28" i="25"/>
  <c r="BG28" i="25" s="1"/>
  <c r="BH28" i="25" s="1"/>
  <c r="BK28" i="25" s="1"/>
  <c r="BL28" i="25" s="1"/>
  <c r="BM28" i="25" s="1"/>
  <c r="AM23" i="25"/>
  <c r="AM34" i="25"/>
  <c r="BI33" i="25"/>
  <c r="AM32" i="25"/>
  <c r="AB25" i="25"/>
  <c r="AM28" i="25"/>
  <c r="AM43" i="25"/>
  <c r="AM41" i="25"/>
  <c r="BI38" i="25"/>
  <c r="BK38" i="25" s="1"/>
  <c r="BL38" i="25" s="1"/>
  <c r="BM38" i="25" s="1"/>
  <c r="BI36" i="24"/>
  <c r="BD36" i="24"/>
  <c r="BG36" i="24" s="1"/>
  <c r="BH36" i="24" s="1"/>
  <c r="BK36" i="24" s="1"/>
  <c r="BL36" i="24" s="1"/>
  <c r="BM36" i="24" s="1"/>
  <c r="AB28" i="24"/>
  <c r="BK20" i="24"/>
  <c r="BL20" i="24" s="1"/>
  <c r="BM20" i="24" s="1"/>
  <c r="BG13" i="24"/>
  <c r="BH13" i="24" s="1"/>
  <c r="BK13" i="24" s="1"/>
  <c r="BL13" i="24" s="1"/>
  <c r="BM13" i="24" s="1"/>
  <c r="BN13" i="24" s="1"/>
  <c r="BO13" i="24" s="1"/>
  <c r="BP13" i="24" s="1"/>
  <c r="BD4" i="24"/>
  <c r="BN22" i="24"/>
  <c r="BO22" i="24" s="1"/>
  <c r="BP22" i="24" s="1"/>
  <c r="BQ22" i="24"/>
  <c r="AM38" i="24"/>
  <c r="BI37" i="24"/>
  <c r="BK37" i="24" s="1"/>
  <c r="BL37" i="24" s="1"/>
  <c r="BM37" i="24" s="1"/>
  <c r="AB33" i="24"/>
  <c r="AB31" i="24"/>
  <c r="BH26" i="24"/>
  <c r="BK26" i="24" s="1"/>
  <c r="BL26" i="24" s="1"/>
  <c r="BM26" i="24" s="1"/>
  <c r="BH24" i="24"/>
  <c r="BK24" i="24" s="1"/>
  <c r="BL24" i="24" s="1"/>
  <c r="BM24" i="24" s="1"/>
  <c r="BJ20" i="24"/>
  <c r="BJ18" i="24"/>
  <c r="BD17" i="24"/>
  <c r="BG17" i="24" s="1"/>
  <c r="BH17" i="24" s="1"/>
  <c r="BI15" i="24"/>
  <c r="BJ37" i="24"/>
  <c r="BJ35" i="24"/>
  <c r="BJ33" i="24"/>
  <c r="BD32" i="24"/>
  <c r="BG32" i="24" s="1"/>
  <c r="BH32" i="24" s="1"/>
  <c r="BK32" i="24" s="1"/>
  <c r="BL32" i="24" s="1"/>
  <c r="BM32" i="24" s="1"/>
  <c r="BJ31" i="24"/>
  <c r="BD30" i="24"/>
  <c r="BG30" i="24" s="1"/>
  <c r="BH30" i="24" s="1"/>
  <c r="BD28" i="24"/>
  <c r="BG28" i="24" s="1"/>
  <c r="BH28" i="24" s="1"/>
  <c r="BI20" i="24"/>
  <c r="AM20" i="24"/>
  <c r="BI18" i="24"/>
  <c r="BK18" i="24" s="1"/>
  <c r="BL18" i="24" s="1"/>
  <c r="BM18" i="24" s="1"/>
  <c r="BJ13" i="24"/>
  <c r="BD34" i="24"/>
  <c r="BG34" i="24" s="1"/>
  <c r="BH34" i="24" s="1"/>
  <c r="BK34" i="24" s="1"/>
  <c r="BL34" i="24" s="1"/>
  <c r="BM34" i="24" s="1"/>
  <c r="AM16" i="24"/>
  <c r="BJ15" i="24"/>
  <c r="BK15" i="24" s="1"/>
  <c r="BL15" i="24" s="1"/>
  <c r="BM15" i="24" s="1"/>
  <c r="BI35" i="24"/>
  <c r="BK35" i="24" s="1"/>
  <c r="BL35" i="24" s="1"/>
  <c r="BM35" i="24" s="1"/>
  <c r="BI33" i="24"/>
  <c r="BK33" i="24" s="1"/>
  <c r="BL33" i="24" s="1"/>
  <c r="BM33" i="24" s="1"/>
  <c r="BI31" i="24"/>
  <c r="BK31" i="24" s="1"/>
  <c r="BL31" i="24" s="1"/>
  <c r="BM31" i="24" s="1"/>
  <c r="BR24" i="24"/>
  <c r="AB23" i="24"/>
  <c r="BR22" i="24"/>
  <c r="BJ16" i="24"/>
  <c r="BI13" i="24"/>
  <c r="BD14" i="24"/>
  <c r="BG14" i="24" s="1"/>
  <c r="BH14" i="24" s="1"/>
  <c r="BK14" i="24" s="1"/>
  <c r="BL14" i="24" s="1"/>
  <c r="BM14" i="24" s="1"/>
  <c r="BJ29" i="24"/>
  <c r="BK29" i="24" s="1"/>
  <c r="BL29" i="24" s="1"/>
  <c r="BM29" i="24" s="1"/>
  <c r="BJ27" i="24"/>
  <c r="BK27" i="24" s="1"/>
  <c r="BL27" i="24" s="1"/>
  <c r="BM27" i="24" s="1"/>
  <c r="BJ25" i="24"/>
  <c r="BK25" i="24" s="1"/>
  <c r="BL25" i="24" s="1"/>
  <c r="BM25" i="24" s="1"/>
  <c r="AM17" i="24"/>
  <c r="BI16" i="24"/>
  <c r="BK16" i="24" s="1"/>
  <c r="BL16" i="24" s="1"/>
  <c r="BM16" i="24" s="1"/>
  <c r="BI38" i="24"/>
  <c r="BK38" i="24" s="1"/>
  <c r="BL38" i="24" s="1"/>
  <c r="BM38" i="24" s="1"/>
  <c r="BJ23" i="24"/>
  <c r="BK23" i="24" s="1"/>
  <c r="BL23" i="24" s="1"/>
  <c r="BM23" i="24" s="1"/>
  <c r="BJ21" i="24"/>
  <c r="BJ19" i="24"/>
  <c r="BK19" i="24" s="1"/>
  <c r="BL19" i="24" s="1"/>
  <c r="BM19" i="24" s="1"/>
  <c r="BR13" i="24"/>
  <c r="BJ38" i="24"/>
  <c r="BJ36" i="24"/>
  <c r="BJ34" i="24"/>
  <c r="AM24" i="24"/>
  <c r="AM22" i="24"/>
  <c r="BI21" i="24"/>
  <c r="BK21" i="24" s="1"/>
  <c r="BL21" i="24" s="1"/>
  <c r="BM21" i="24" s="1"/>
  <c r="BJ14" i="24"/>
  <c r="BJ17" i="24"/>
  <c r="BJ32" i="24"/>
  <c r="BJ30" i="24"/>
  <c r="BJ28" i="24"/>
  <c r="BR20" i="24"/>
  <c r="BN53" i="23"/>
  <c r="BO53" i="23" s="1"/>
  <c r="BP53" i="23" s="1"/>
  <c r="BS53" i="23" s="1"/>
  <c r="BT53" i="23" s="1"/>
  <c r="BU53" i="23" s="1"/>
  <c r="BV53" i="23" s="1"/>
  <c r="H53" i="23" s="1"/>
  <c r="BQ53" i="23"/>
  <c r="BR53" i="23"/>
  <c r="BN27" i="23"/>
  <c r="BO27" i="23" s="1"/>
  <c r="BP27" i="23" s="1"/>
  <c r="BQ27" i="23"/>
  <c r="BR27" i="23"/>
  <c r="AN53" i="23"/>
  <c r="BN50" i="23"/>
  <c r="BO50" i="23" s="1"/>
  <c r="BP50" i="23" s="1"/>
  <c r="BS50" i="23" s="1"/>
  <c r="BT50" i="23" s="1"/>
  <c r="BU50" i="23" s="1"/>
  <c r="BV50" i="23" s="1"/>
  <c r="H50" i="23" s="1"/>
  <c r="BQ50" i="23"/>
  <c r="BR50" i="23"/>
  <c r="BQ51" i="23"/>
  <c r="BR51" i="23"/>
  <c r="BN51" i="23"/>
  <c r="BO51" i="23" s="1"/>
  <c r="BP51" i="23" s="1"/>
  <c r="BS51" i="23" s="1"/>
  <c r="BT51" i="23" s="1"/>
  <c r="BU51" i="23" s="1"/>
  <c r="BV51" i="23" s="1"/>
  <c r="H51" i="23" s="1"/>
  <c r="BR49" i="23"/>
  <c r="BQ49" i="23"/>
  <c r="BN49" i="23"/>
  <c r="BO49" i="23" s="1"/>
  <c r="BP49" i="23" s="1"/>
  <c r="BS49" i="23" s="1"/>
  <c r="BT49" i="23" s="1"/>
  <c r="BU49" i="23" s="1"/>
  <c r="BV49" i="23" s="1"/>
  <c r="H49" i="23" s="1"/>
  <c r="AC49" i="23" s="1"/>
  <c r="AB54" i="23"/>
  <c r="BN25" i="23"/>
  <c r="BO25" i="23" s="1"/>
  <c r="BP25" i="23" s="1"/>
  <c r="BQ25" i="23"/>
  <c r="BR25" i="23"/>
  <c r="BN48" i="23"/>
  <c r="BO48" i="23" s="1"/>
  <c r="BP48" i="23" s="1"/>
  <c r="BS48" i="23" s="1"/>
  <c r="BT48" i="23" s="1"/>
  <c r="BU48" i="23" s="1"/>
  <c r="BV48" i="23" s="1"/>
  <c r="H48" i="23" s="1"/>
  <c r="AN48" i="23" s="1"/>
  <c r="BQ48" i="23"/>
  <c r="BR48" i="23"/>
  <c r="BK35" i="23"/>
  <c r="BL35" i="23" s="1"/>
  <c r="BM35" i="23" s="1"/>
  <c r="BN16" i="23"/>
  <c r="BO16" i="23" s="1"/>
  <c r="BP16" i="23" s="1"/>
  <c r="BQ16" i="23"/>
  <c r="BR16" i="23"/>
  <c r="BK40" i="23"/>
  <c r="BL40" i="23" s="1"/>
  <c r="BM40" i="23" s="1"/>
  <c r="BD54" i="23"/>
  <c r="BG54" i="23" s="1"/>
  <c r="BH54" i="23" s="1"/>
  <c r="AB53" i="23"/>
  <c r="AC53" i="23" s="1"/>
  <c r="BI33" i="23"/>
  <c r="BJ33" i="23"/>
  <c r="AB18" i="23"/>
  <c r="AB17" i="23"/>
  <c r="AB16" i="23"/>
  <c r="AM16" i="23"/>
  <c r="BD52" i="23"/>
  <c r="BG52" i="23" s="1"/>
  <c r="BH52" i="23" s="1"/>
  <c r="BK52" i="23" s="1"/>
  <c r="BL52" i="23" s="1"/>
  <c r="BM52" i="23" s="1"/>
  <c r="BI47" i="23"/>
  <c r="BK47" i="23" s="1"/>
  <c r="BL47" i="23" s="1"/>
  <c r="BM47" i="23" s="1"/>
  <c r="BJ47" i="23"/>
  <c r="AB42" i="23"/>
  <c r="BD33" i="23"/>
  <c r="BG33" i="23" s="1"/>
  <c r="BH33" i="23" s="1"/>
  <c r="BK33" i="23" s="1"/>
  <c r="BL33" i="23" s="1"/>
  <c r="BM33" i="23" s="1"/>
  <c r="BI31" i="23"/>
  <c r="BK31" i="23" s="1"/>
  <c r="BL31" i="23" s="1"/>
  <c r="BM31" i="23" s="1"/>
  <c r="BJ31" i="23"/>
  <c r="AB27" i="23"/>
  <c r="BI24" i="23"/>
  <c r="BJ24" i="23"/>
  <c r="BN38" i="23"/>
  <c r="BO38" i="23" s="1"/>
  <c r="BP38" i="23" s="1"/>
  <c r="BQ38" i="23"/>
  <c r="BR38" i="23"/>
  <c r="BN29" i="23"/>
  <c r="BO29" i="23" s="1"/>
  <c r="BP29" i="23" s="1"/>
  <c r="BQ29" i="23"/>
  <c r="BR29" i="23"/>
  <c r="BD24" i="23"/>
  <c r="BG24" i="23" s="1"/>
  <c r="BH24" i="23" s="1"/>
  <c r="BI13" i="23"/>
  <c r="BI15" i="23"/>
  <c r="BK15" i="23" s="1"/>
  <c r="BL15" i="23" s="1"/>
  <c r="BM15" i="23" s="1"/>
  <c r="BI26" i="23"/>
  <c r="BI28" i="23"/>
  <c r="BI17" i="23"/>
  <c r="BK17" i="23" s="1"/>
  <c r="BL17" i="23" s="1"/>
  <c r="BM17" i="23" s="1"/>
  <c r="BI19" i="23"/>
  <c r="BI30" i="23"/>
  <c r="BK30" i="23" s="1"/>
  <c r="BL30" i="23" s="1"/>
  <c r="BM30" i="23" s="1"/>
  <c r="BI32" i="23"/>
  <c r="BK32" i="23" s="1"/>
  <c r="BL32" i="23" s="1"/>
  <c r="BM32" i="23" s="1"/>
  <c r="BI14" i="23"/>
  <c r="BK14" i="23" s="1"/>
  <c r="BL14" i="23" s="1"/>
  <c r="BM14" i="23" s="1"/>
  <c r="BI34" i="23"/>
  <c r="BK34" i="23" s="1"/>
  <c r="BL34" i="23" s="1"/>
  <c r="BM34" i="23" s="1"/>
  <c r="BI36" i="23"/>
  <c r="BK36" i="23" s="1"/>
  <c r="BL36" i="23" s="1"/>
  <c r="BM36" i="23" s="1"/>
  <c r="BK26" i="23"/>
  <c r="BL26" i="23" s="1"/>
  <c r="BM26" i="23" s="1"/>
  <c r="AM54" i="23"/>
  <c r="BK37" i="23"/>
  <c r="BL37" i="23" s="1"/>
  <c r="BM37" i="23" s="1"/>
  <c r="AM52" i="23"/>
  <c r="BI44" i="23"/>
  <c r="BJ44" i="23"/>
  <c r="BD44" i="23"/>
  <c r="BG44" i="23" s="1"/>
  <c r="BH44" i="23" s="1"/>
  <c r="BK44" i="23" s="1"/>
  <c r="BL44" i="23" s="1"/>
  <c r="BM44" i="23" s="1"/>
  <c r="BK43" i="23"/>
  <c r="BL43" i="23" s="1"/>
  <c r="BM43" i="23" s="1"/>
  <c r="BG13" i="23"/>
  <c r="BH13" i="23" s="1"/>
  <c r="BK13" i="23" s="1"/>
  <c r="BL13" i="23" s="1"/>
  <c r="BM13" i="23" s="1"/>
  <c r="AB39" i="23"/>
  <c r="AB38" i="23"/>
  <c r="AM38" i="23"/>
  <c r="BK28" i="23"/>
  <c r="BL28" i="23" s="1"/>
  <c r="BM28" i="23" s="1"/>
  <c r="BI42" i="23"/>
  <c r="BJ42" i="23"/>
  <c r="BD42" i="23"/>
  <c r="BG42" i="23" s="1"/>
  <c r="BH42" i="23" s="1"/>
  <c r="AM50" i="23"/>
  <c r="BI22" i="23"/>
  <c r="BJ22" i="23"/>
  <c r="BK19" i="23"/>
  <c r="BL19" i="23" s="1"/>
  <c r="BM19" i="23" s="1"/>
  <c r="AB14" i="23"/>
  <c r="AM14" i="23"/>
  <c r="BJ54" i="23"/>
  <c r="AB48" i="23"/>
  <c r="AC48" i="23" s="1"/>
  <c r="AB46" i="23"/>
  <c r="BI35" i="23"/>
  <c r="BJ35" i="23"/>
  <c r="AB29" i="23"/>
  <c r="BI23" i="23"/>
  <c r="BK23" i="23" s="1"/>
  <c r="BL23" i="23" s="1"/>
  <c r="BM23" i="23" s="1"/>
  <c r="BD22" i="23"/>
  <c r="BG22" i="23" s="1"/>
  <c r="BH22" i="23" s="1"/>
  <c r="BK22" i="23" s="1"/>
  <c r="BL22" i="23" s="1"/>
  <c r="BM22" i="23" s="1"/>
  <c r="BI18" i="23"/>
  <c r="BJ18" i="23"/>
  <c r="BD18" i="23"/>
  <c r="BG18" i="23" s="1"/>
  <c r="BH18" i="23" s="1"/>
  <c r="BJ46" i="23"/>
  <c r="BD46" i="23"/>
  <c r="BG46" i="23" s="1"/>
  <c r="BH46" i="23" s="1"/>
  <c r="BK46" i="23" s="1"/>
  <c r="BL46" i="23" s="1"/>
  <c r="BM46" i="23" s="1"/>
  <c r="AB36" i="23"/>
  <c r="AB23" i="23"/>
  <c r="BI20" i="23"/>
  <c r="BJ20" i="23"/>
  <c r="BD20" i="23"/>
  <c r="BG20" i="23" s="1"/>
  <c r="BH20" i="23" s="1"/>
  <c r="BK20" i="23" s="1"/>
  <c r="BL20" i="23" s="1"/>
  <c r="BM20" i="23" s="1"/>
  <c r="BJ45" i="23"/>
  <c r="BK45" i="23" s="1"/>
  <c r="BL45" i="23" s="1"/>
  <c r="BM45" i="23" s="1"/>
  <c r="AM37" i="23"/>
  <c r="BJ21" i="23"/>
  <c r="AM15" i="23"/>
  <c r="BJ32" i="23"/>
  <c r="BJ30" i="23"/>
  <c r="BI21" i="23"/>
  <c r="BK21" i="23" s="1"/>
  <c r="BL21" i="23" s="1"/>
  <c r="BM21" i="23" s="1"/>
  <c r="BI43" i="23"/>
  <c r="AM42" i="23"/>
  <c r="BI41" i="23"/>
  <c r="BK41" i="23" s="1"/>
  <c r="BL41" i="23" s="1"/>
  <c r="BM41" i="23" s="1"/>
  <c r="BI39" i="23"/>
  <c r="BK39" i="23" s="1"/>
  <c r="BL39" i="23" s="1"/>
  <c r="BM39" i="23" s="1"/>
  <c r="AB35" i="23"/>
  <c r="AM20" i="23"/>
  <c r="AC39" i="22"/>
  <c r="AB36" i="22"/>
  <c r="BI33" i="22"/>
  <c r="BK33" i="22" s="1"/>
  <c r="BL33" i="22" s="1"/>
  <c r="BM33" i="22" s="1"/>
  <c r="BI37" i="22"/>
  <c r="BK37" i="22" s="1"/>
  <c r="BL37" i="22" s="1"/>
  <c r="BM37" i="22" s="1"/>
  <c r="BI14" i="22"/>
  <c r="BK14" i="22" s="1"/>
  <c r="BL14" i="22" s="1"/>
  <c r="BM14" i="22" s="1"/>
  <c r="BI21" i="22"/>
  <c r="BK21" i="22" s="1"/>
  <c r="BL21" i="22" s="1"/>
  <c r="BM21" i="22" s="1"/>
  <c r="BI23" i="22"/>
  <c r="BK23" i="22" s="1"/>
  <c r="BL23" i="22" s="1"/>
  <c r="BM23" i="22" s="1"/>
  <c r="BI25" i="22"/>
  <c r="BI27" i="22"/>
  <c r="BI31" i="22"/>
  <c r="BI29" i="22"/>
  <c r="BI35" i="22"/>
  <c r="BK35" i="22" s="1"/>
  <c r="BL35" i="22" s="1"/>
  <c r="BM35" i="22" s="1"/>
  <c r="BI13" i="22"/>
  <c r="BK25" i="22"/>
  <c r="BL25" i="22" s="1"/>
  <c r="BM25" i="22" s="1"/>
  <c r="BI15" i="22"/>
  <c r="BR19" i="22"/>
  <c r="BN19" i="22"/>
  <c r="BO19" i="22" s="1"/>
  <c r="BP19" i="22" s="1"/>
  <c r="BS19" i="22" s="1"/>
  <c r="BT19" i="22" s="1"/>
  <c r="BU19" i="22" s="1"/>
  <c r="BV19" i="22" s="1"/>
  <c r="H19" i="22" s="1"/>
  <c r="BK15" i="22"/>
  <c r="BL15" i="22" s="1"/>
  <c r="BM15" i="22" s="1"/>
  <c r="BD3" i="22"/>
  <c r="BG13" i="22"/>
  <c r="BH13" i="22" s="1"/>
  <c r="BI30" i="22"/>
  <c r="BJ30" i="22"/>
  <c r="BK30" i="22" s="1"/>
  <c r="BL30" i="22" s="1"/>
  <c r="BM30" i="22" s="1"/>
  <c r="BI20" i="22"/>
  <c r="BK20" i="22" s="1"/>
  <c r="BL20" i="22" s="1"/>
  <c r="BM20" i="22" s="1"/>
  <c r="BK29" i="22"/>
  <c r="BL29" i="22" s="1"/>
  <c r="BM29" i="22" s="1"/>
  <c r="BN39" i="22"/>
  <c r="BO39" i="22" s="1"/>
  <c r="BP39" i="22" s="1"/>
  <c r="BS39" i="22" s="1"/>
  <c r="BT39" i="22" s="1"/>
  <c r="BU39" i="22" s="1"/>
  <c r="BV39" i="22" s="1"/>
  <c r="H39" i="22" s="1"/>
  <c r="BQ39" i="22"/>
  <c r="BR39" i="22"/>
  <c r="BK31" i="22"/>
  <c r="BL31" i="22" s="1"/>
  <c r="BM31" i="22" s="1"/>
  <c r="BK18" i="22"/>
  <c r="BL18" i="22" s="1"/>
  <c r="BM18" i="22" s="1"/>
  <c r="BK27" i="22"/>
  <c r="BL27" i="22" s="1"/>
  <c r="BM27" i="22" s="1"/>
  <c r="BR17" i="22"/>
  <c r="BN17" i="22"/>
  <c r="BO17" i="22" s="1"/>
  <c r="BP17" i="22" s="1"/>
  <c r="BI32" i="22"/>
  <c r="BJ32" i="22"/>
  <c r="BK22" i="22"/>
  <c r="BL22" i="22" s="1"/>
  <c r="BM22" i="22" s="1"/>
  <c r="AB20" i="22"/>
  <c r="AM20" i="22"/>
  <c r="AB18" i="22"/>
  <c r="AM18" i="22"/>
  <c r="BI34" i="22"/>
  <c r="BK34" i="22" s="1"/>
  <c r="BL34" i="22" s="1"/>
  <c r="BM34" i="22" s="1"/>
  <c r="BJ34" i="22"/>
  <c r="BK32" i="22"/>
  <c r="BL32" i="22" s="1"/>
  <c r="BM32" i="22" s="1"/>
  <c r="AB30" i="22"/>
  <c r="BI24" i="22"/>
  <c r="BD28" i="22"/>
  <c r="BG28" i="22" s="1"/>
  <c r="BH28" i="22" s="1"/>
  <c r="BK28" i="22" s="1"/>
  <c r="BL28" i="22" s="1"/>
  <c r="BM28" i="22" s="1"/>
  <c r="BD26" i="22"/>
  <c r="BG26" i="22" s="1"/>
  <c r="BH26" i="22" s="1"/>
  <c r="BK26" i="22" s="1"/>
  <c r="BL26" i="22" s="1"/>
  <c r="BM26" i="22" s="1"/>
  <c r="BD24" i="22"/>
  <c r="BG24" i="22" s="1"/>
  <c r="BH24" i="22" s="1"/>
  <c r="BI16" i="22"/>
  <c r="BK16" i="22" s="1"/>
  <c r="BL16" i="22" s="1"/>
  <c r="BM16" i="22" s="1"/>
  <c r="AB16" i="22"/>
  <c r="AB19" i="22"/>
  <c r="BI40" i="22"/>
  <c r="BK40" i="22" s="1"/>
  <c r="BL40" i="22" s="1"/>
  <c r="BM40" i="22" s="1"/>
  <c r="AB34" i="22"/>
  <c r="BI38" i="22"/>
  <c r="BK38" i="22" s="1"/>
  <c r="BL38" i="22" s="1"/>
  <c r="BM38" i="22" s="1"/>
  <c r="BI36" i="22"/>
  <c r="BK36" i="22" s="1"/>
  <c r="BL36" i="22" s="1"/>
  <c r="BM36" i="22" s="1"/>
  <c r="AB28" i="22"/>
  <c r="BJ28" i="22"/>
  <c r="BJ26" i="22"/>
  <c r="BJ24" i="22"/>
  <c r="T24" i="21"/>
  <c r="U24" i="21" s="1"/>
  <c r="AG13" i="21"/>
  <c r="U13" i="21"/>
  <c r="T23" i="21"/>
  <c r="U23" i="21" s="1"/>
  <c r="T17" i="21"/>
  <c r="U17" i="21" s="1"/>
  <c r="T15" i="21"/>
  <c r="U15" i="21" s="1"/>
  <c r="T18" i="21"/>
  <c r="U18" i="21" s="1"/>
  <c r="T20" i="21"/>
  <c r="U20" i="21" s="1"/>
  <c r="AG22" i="21"/>
  <c r="T19" i="21"/>
  <c r="U19" i="21" s="1"/>
  <c r="AG16" i="21"/>
  <c r="T22" i="21"/>
  <c r="U22" i="21" s="1"/>
  <c r="T25" i="21"/>
  <c r="U25" i="21" s="1"/>
  <c r="T16" i="21"/>
  <c r="U16" i="21" s="1"/>
  <c r="T21" i="21"/>
  <c r="U21" i="21" s="1"/>
  <c r="T26" i="21"/>
  <c r="U26" i="21" s="1"/>
  <c r="T27" i="21"/>
  <c r="U27" i="21" s="1"/>
  <c r="T14" i="21"/>
  <c r="U14" i="21" s="1"/>
  <c r="X13" i="21" l="1"/>
  <c r="BN36" i="25"/>
  <c r="BO36" i="25" s="1"/>
  <c r="BP36" i="25" s="1"/>
  <c r="BQ36" i="25"/>
  <c r="BR36" i="25"/>
  <c r="BQ38" i="25"/>
  <c r="BN38" i="25"/>
  <c r="BO38" i="25" s="1"/>
  <c r="BP38" i="25" s="1"/>
  <c r="BR38" i="25"/>
  <c r="BN31" i="25"/>
  <c r="BO31" i="25" s="1"/>
  <c r="BP31" i="25" s="1"/>
  <c r="BQ31" i="25"/>
  <c r="BR31" i="25"/>
  <c r="BQ44" i="25"/>
  <c r="BN44" i="25"/>
  <c r="BO44" i="25" s="1"/>
  <c r="BP44" i="25" s="1"/>
  <c r="BR44" i="25"/>
  <c r="BQ40" i="25"/>
  <c r="BN40" i="25"/>
  <c r="BO40" i="25" s="1"/>
  <c r="BP40" i="25" s="1"/>
  <c r="BS40" i="25" s="1"/>
  <c r="BT40" i="25" s="1"/>
  <c r="BU40" i="25" s="1"/>
  <c r="BV40" i="25" s="1"/>
  <c r="H40" i="25" s="1"/>
  <c r="BR40" i="25"/>
  <c r="BN14" i="25"/>
  <c r="BO14" i="25" s="1"/>
  <c r="BP14" i="25" s="1"/>
  <c r="BQ14" i="25"/>
  <c r="BR14" i="25"/>
  <c r="BN21" i="25"/>
  <c r="BO21" i="25" s="1"/>
  <c r="BP21" i="25" s="1"/>
  <c r="BQ21" i="25"/>
  <c r="BR21" i="25"/>
  <c r="BQ16" i="25"/>
  <c r="BN16" i="25"/>
  <c r="BO16" i="25" s="1"/>
  <c r="BP16" i="25" s="1"/>
  <c r="BR16" i="25"/>
  <c r="BN23" i="25"/>
  <c r="BO23" i="25" s="1"/>
  <c r="BP23" i="25" s="1"/>
  <c r="BQ23" i="25"/>
  <c r="BR23" i="25"/>
  <c r="BN28" i="25"/>
  <c r="BO28" i="25" s="1"/>
  <c r="BP28" i="25" s="1"/>
  <c r="BS28" i="25" s="1"/>
  <c r="BT28" i="25" s="1"/>
  <c r="BU28" i="25" s="1"/>
  <c r="BV28" i="25" s="1"/>
  <c r="H28" i="25" s="1"/>
  <c r="BQ28" i="25"/>
  <c r="BQ27" i="25"/>
  <c r="BN27" i="25"/>
  <c r="BO27" i="25" s="1"/>
  <c r="BP27" i="25" s="1"/>
  <c r="BS27" i="25" s="1"/>
  <c r="BT27" i="25" s="1"/>
  <c r="BU27" i="25" s="1"/>
  <c r="BV27" i="25" s="1"/>
  <c r="H27" i="25" s="1"/>
  <c r="AC37" i="25"/>
  <c r="BN30" i="25"/>
  <c r="BO30" i="25" s="1"/>
  <c r="BP30" i="25" s="1"/>
  <c r="BQ30" i="25"/>
  <c r="BK19" i="25"/>
  <c r="BL19" i="25" s="1"/>
  <c r="BM19" i="25" s="1"/>
  <c r="AD35" i="25"/>
  <c r="AO35" i="25"/>
  <c r="O35" i="25"/>
  <c r="BN34" i="25"/>
  <c r="BO34" i="25" s="1"/>
  <c r="BP34" i="25" s="1"/>
  <c r="BR34" i="25"/>
  <c r="BQ34" i="25"/>
  <c r="BN43" i="25"/>
  <c r="BO43" i="25" s="1"/>
  <c r="BP43" i="25" s="1"/>
  <c r="BQ43" i="25"/>
  <c r="BD4" i="25"/>
  <c r="BK22" i="25"/>
  <c r="BL22" i="25" s="1"/>
  <c r="BM22" i="25" s="1"/>
  <c r="BR28" i="25"/>
  <c r="BQ17" i="25"/>
  <c r="BN17" i="25"/>
  <c r="BO17" i="25" s="1"/>
  <c r="BP17" i="25" s="1"/>
  <c r="BR17" i="25"/>
  <c r="BD3" i="25"/>
  <c r="BQ42" i="25"/>
  <c r="BN42" i="25"/>
  <c r="BO42" i="25" s="1"/>
  <c r="BP42" i="25" s="1"/>
  <c r="AD37" i="25"/>
  <c r="AO37" i="25"/>
  <c r="O37" i="25"/>
  <c r="BK13" i="25"/>
  <c r="BL13" i="25" s="1"/>
  <c r="BM13" i="25" s="1"/>
  <c r="BK20" i="25"/>
  <c r="BL20" i="25" s="1"/>
  <c r="BM20" i="25" s="1"/>
  <c r="BQ15" i="25"/>
  <c r="BN18" i="25"/>
  <c r="BO18" i="25" s="1"/>
  <c r="BP18" i="25" s="1"/>
  <c r="BS18" i="25" s="1"/>
  <c r="BT18" i="25" s="1"/>
  <c r="BU18" i="25" s="1"/>
  <c r="BV18" i="25" s="1"/>
  <c r="H18" i="25" s="1"/>
  <c r="BQ18" i="25"/>
  <c r="BR43" i="25"/>
  <c r="BK45" i="25"/>
  <c r="BL45" i="25" s="1"/>
  <c r="BM45" i="25" s="1"/>
  <c r="AN24" i="25"/>
  <c r="BR27" i="25"/>
  <c r="BS39" i="25"/>
  <c r="BT39" i="25" s="1"/>
  <c r="BU39" i="25" s="1"/>
  <c r="BV39" i="25" s="1"/>
  <c r="H39" i="25" s="1"/>
  <c r="BN25" i="25"/>
  <c r="BO25" i="25" s="1"/>
  <c r="BP25" i="25" s="1"/>
  <c r="BQ25" i="25"/>
  <c r="BN26" i="25"/>
  <c r="BO26" i="25" s="1"/>
  <c r="BP26" i="25" s="1"/>
  <c r="BQ26" i="25"/>
  <c r="AN28" i="25"/>
  <c r="BN29" i="25"/>
  <c r="BO29" i="25" s="1"/>
  <c r="BP29" i="25" s="1"/>
  <c r="BQ29" i="25"/>
  <c r="BR25" i="25"/>
  <c r="BN41" i="25"/>
  <c r="BO41" i="25" s="1"/>
  <c r="BP41" i="25" s="1"/>
  <c r="BQ41" i="25"/>
  <c r="BN24" i="25"/>
  <c r="BO24" i="25" s="1"/>
  <c r="BP24" i="25" s="1"/>
  <c r="BS24" i="25" s="1"/>
  <c r="BT24" i="25" s="1"/>
  <c r="BU24" i="25" s="1"/>
  <c r="BV24" i="25" s="1"/>
  <c r="H24" i="25" s="1"/>
  <c r="BQ24" i="25"/>
  <c r="BK32" i="25"/>
  <c r="BL32" i="25" s="1"/>
  <c r="BM32" i="25" s="1"/>
  <c r="BR15" i="25"/>
  <c r="BS15" i="25" s="1"/>
  <c r="BT15" i="25" s="1"/>
  <c r="BU15" i="25" s="1"/>
  <c r="BV15" i="25" s="1"/>
  <c r="H15" i="25" s="1"/>
  <c r="BK33" i="25"/>
  <c r="BL33" i="25" s="1"/>
  <c r="BM33" i="25" s="1"/>
  <c r="BN31" i="24"/>
  <c r="BO31" i="24" s="1"/>
  <c r="BP31" i="24" s="1"/>
  <c r="BQ31" i="24"/>
  <c r="BR31" i="24"/>
  <c r="BN35" i="24"/>
  <c r="BO35" i="24" s="1"/>
  <c r="BP35" i="24" s="1"/>
  <c r="BS35" i="24" s="1"/>
  <c r="BT35" i="24" s="1"/>
  <c r="BU35" i="24" s="1"/>
  <c r="BV35" i="24" s="1"/>
  <c r="H35" i="24" s="1"/>
  <c r="BQ35" i="24"/>
  <c r="BR35" i="24"/>
  <c r="BQ15" i="24"/>
  <c r="BN15" i="24"/>
  <c r="BO15" i="24" s="1"/>
  <c r="BP15" i="24" s="1"/>
  <c r="BS15" i="24" s="1"/>
  <c r="BT15" i="24" s="1"/>
  <c r="BU15" i="24" s="1"/>
  <c r="BV15" i="24" s="1"/>
  <c r="H15" i="24" s="1"/>
  <c r="BR15" i="24"/>
  <c r="BQ23" i="24"/>
  <c r="BN23" i="24"/>
  <c r="BO23" i="24" s="1"/>
  <c r="BP23" i="24" s="1"/>
  <c r="BR23" i="24"/>
  <c r="BN33" i="24"/>
  <c r="BO33" i="24" s="1"/>
  <c r="BP33" i="24" s="1"/>
  <c r="BS33" i="24" s="1"/>
  <c r="BT33" i="24" s="1"/>
  <c r="BU33" i="24" s="1"/>
  <c r="BV33" i="24" s="1"/>
  <c r="H33" i="24" s="1"/>
  <c r="BQ33" i="24"/>
  <c r="BR33" i="24"/>
  <c r="BQ27" i="24"/>
  <c r="BN27" i="24"/>
  <c r="BO27" i="24" s="1"/>
  <c r="BP27" i="24" s="1"/>
  <c r="BR27" i="24"/>
  <c r="BQ16" i="24"/>
  <c r="BN16" i="24"/>
  <c r="BO16" i="24" s="1"/>
  <c r="BP16" i="24" s="1"/>
  <c r="BS16" i="24" s="1"/>
  <c r="BT16" i="24" s="1"/>
  <c r="BU16" i="24" s="1"/>
  <c r="BV16" i="24" s="1"/>
  <c r="H16" i="24" s="1"/>
  <c r="BR16" i="24"/>
  <c r="BQ21" i="24"/>
  <c r="BN21" i="24"/>
  <c r="BO21" i="24" s="1"/>
  <c r="BP21" i="24" s="1"/>
  <c r="BR21" i="24"/>
  <c r="BQ25" i="24"/>
  <c r="BN25" i="24"/>
  <c r="BO25" i="24" s="1"/>
  <c r="BP25" i="24" s="1"/>
  <c r="BR25" i="24"/>
  <c r="BQ29" i="24"/>
  <c r="BN29" i="24"/>
  <c r="BO29" i="24" s="1"/>
  <c r="BP29" i="24" s="1"/>
  <c r="BR29" i="24"/>
  <c r="BN18" i="24"/>
  <c r="BO18" i="24" s="1"/>
  <c r="BP18" i="24" s="1"/>
  <c r="BQ18" i="24"/>
  <c r="BR18" i="24"/>
  <c r="BN37" i="24"/>
  <c r="BO37" i="24" s="1"/>
  <c r="BP37" i="24" s="1"/>
  <c r="BQ37" i="24"/>
  <c r="BR37" i="24"/>
  <c r="BQ38" i="24"/>
  <c r="BN38" i="24"/>
  <c r="BO38" i="24" s="1"/>
  <c r="BP38" i="24" s="1"/>
  <c r="BR38" i="24"/>
  <c r="BQ19" i="24"/>
  <c r="BN19" i="24"/>
  <c r="BO19" i="24" s="1"/>
  <c r="BP19" i="24" s="1"/>
  <c r="BR19" i="24"/>
  <c r="BD3" i="24"/>
  <c r="BQ13" i="24"/>
  <c r="BS13" i="24" s="1"/>
  <c r="BT13" i="24" s="1"/>
  <c r="BU13" i="24" s="1"/>
  <c r="BV13" i="24" s="1"/>
  <c r="H13" i="24" s="1"/>
  <c r="BN34" i="24"/>
  <c r="BO34" i="24" s="1"/>
  <c r="BP34" i="24" s="1"/>
  <c r="BR34" i="24"/>
  <c r="BQ34" i="24"/>
  <c r="BK17" i="24"/>
  <c r="BL17" i="24" s="1"/>
  <c r="BM17" i="24" s="1"/>
  <c r="BN20" i="24"/>
  <c r="BO20" i="24" s="1"/>
  <c r="BP20" i="24" s="1"/>
  <c r="BQ20" i="24"/>
  <c r="AN22" i="24"/>
  <c r="BN24" i="24"/>
  <c r="BO24" i="24" s="1"/>
  <c r="BP24" i="24" s="1"/>
  <c r="BQ24" i="24"/>
  <c r="AC33" i="24"/>
  <c r="BK28" i="24"/>
  <c r="BL28" i="24" s="1"/>
  <c r="BM28" i="24" s="1"/>
  <c r="BN26" i="24"/>
  <c r="BO26" i="24" s="1"/>
  <c r="BP26" i="24" s="1"/>
  <c r="BQ26" i="24"/>
  <c r="BR26" i="24"/>
  <c r="BK30" i="24"/>
  <c r="BL30" i="24" s="1"/>
  <c r="BM30" i="24" s="1"/>
  <c r="BN14" i="24"/>
  <c r="BO14" i="24" s="1"/>
  <c r="BP14" i="24" s="1"/>
  <c r="BQ14" i="24"/>
  <c r="BR14" i="24"/>
  <c r="BN32" i="24"/>
  <c r="BO32" i="24" s="1"/>
  <c r="BP32" i="24" s="1"/>
  <c r="BS32" i="24" s="1"/>
  <c r="BT32" i="24" s="1"/>
  <c r="BU32" i="24" s="1"/>
  <c r="BV32" i="24" s="1"/>
  <c r="H32" i="24" s="1"/>
  <c r="BQ32" i="24"/>
  <c r="BQ36" i="24"/>
  <c r="BN36" i="24"/>
  <c r="BO36" i="24" s="1"/>
  <c r="BP36" i="24" s="1"/>
  <c r="BR36" i="24"/>
  <c r="BR32" i="24"/>
  <c r="BS22" i="24"/>
  <c r="BT22" i="24" s="1"/>
  <c r="BU22" i="24" s="1"/>
  <c r="BV22" i="24" s="1"/>
  <c r="H22" i="24" s="1"/>
  <c r="BQ17" i="23"/>
  <c r="BR17" i="23"/>
  <c r="BN17" i="23"/>
  <c r="BO17" i="23" s="1"/>
  <c r="BP17" i="23" s="1"/>
  <c r="BS17" i="23" s="1"/>
  <c r="BT17" i="23" s="1"/>
  <c r="BU17" i="23" s="1"/>
  <c r="BV17" i="23" s="1"/>
  <c r="H17" i="23" s="1"/>
  <c r="BQ30" i="23"/>
  <c r="BR30" i="23"/>
  <c r="BN30" i="23"/>
  <c r="BO30" i="23" s="1"/>
  <c r="BP30" i="23" s="1"/>
  <c r="BS30" i="23" s="1"/>
  <c r="BT30" i="23" s="1"/>
  <c r="BU30" i="23" s="1"/>
  <c r="BV30" i="23" s="1"/>
  <c r="H30" i="23" s="1"/>
  <c r="BQ39" i="23"/>
  <c r="BR39" i="23"/>
  <c r="BN39" i="23"/>
  <c r="BO39" i="23" s="1"/>
  <c r="BP39" i="23" s="1"/>
  <c r="BS39" i="23" s="1"/>
  <c r="BT39" i="23" s="1"/>
  <c r="BU39" i="23" s="1"/>
  <c r="BV39" i="23" s="1"/>
  <c r="H39" i="23" s="1"/>
  <c r="BR15" i="23"/>
  <c r="BN15" i="23"/>
  <c r="BO15" i="23" s="1"/>
  <c r="BP15" i="23" s="1"/>
  <c r="BQ15" i="23"/>
  <c r="BN23" i="23"/>
  <c r="BO23" i="23" s="1"/>
  <c r="BP23" i="23" s="1"/>
  <c r="BQ23" i="23"/>
  <c r="BR23" i="23"/>
  <c r="BQ41" i="23"/>
  <c r="BR41" i="23"/>
  <c r="BN41" i="23"/>
  <c r="BO41" i="23" s="1"/>
  <c r="BP41" i="23" s="1"/>
  <c r="BS41" i="23" s="1"/>
  <c r="BT41" i="23" s="1"/>
  <c r="BU41" i="23" s="1"/>
  <c r="BV41" i="23" s="1"/>
  <c r="H41" i="23" s="1"/>
  <c r="BN31" i="23"/>
  <c r="BO31" i="23" s="1"/>
  <c r="BP31" i="23" s="1"/>
  <c r="BQ31" i="23"/>
  <c r="BR31" i="23"/>
  <c r="BN45" i="23"/>
  <c r="BO45" i="23" s="1"/>
  <c r="BP45" i="23" s="1"/>
  <c r="BQ45" i="23"/>
  <c r="BR45" i="23"/>
  <c r="BN34" i="23"/>
  <c r="BO34" i="23" s="1"/>
  <c r="BP34" i="23" s="1"/>
  <c r="BS34" i="23" s="1"/>
  <c r="BT34" i="23" s="1"/>
  <c r="BU34" i="23" s="1"/>
  <c r="BV34" i="23" s="1"/>
  <c r="H34" i="23" s="1"/>
  <c r="BQ34" i="23"/>
  <c r="BR34" i="23"/>
  <c r="BN47" i="23"/>
  <c r="BO47" i="23" s="1"/>
  <c r="BP47" i="23" s="1"/>
  <c r="BS47" i="23" s="1"/>
  <c r="BT47" i="23" s="1"/>
  <c r="BU47" i="23" s="1"/>
  <c r="BV47" i="23" s="1"/>
  <c r="H47" i="23" s="1"/>
  <c r="BQ47" i="23"/>
  <c r="BR47" i="23"/>
  <c r="BN21" i="23"/>
  <c r="BO21" i="23" s="1"/>
  <c r="BP21" i="23" s="1"/>
  <c r="BQ21" i="23"/>
  <c r="BR21" i="23"/>
  <c r="BQ32" i="23"/>
  <c r="BR32" i="23"/>
  <c r="BN32" i="23"/>
  <c r="BO32" i="23" s="1"/>
  <c r="BP32" i="23" s="1"/>
  <c r="BQ28" i="23"/>
  <c r="BR28" i="23"/>
  <c r="BN28" i="23"/>
  <c r="BO28" i="23" s="1"/>
  <c r="BP28" i="23" s="1"/>
  <c r="BS28" i="23" s="1"/>
  <c r="BT28" i="23" s="1"/>
  <c r="BU28" i="23" s="1"/>
  <c r="BV28" i="23" s="1"/>
  <c r="H28" i="23" s="1"/>
  <c r="BN14" i="23"/>
  <c r="BO14" i="23" s="1"/>
  <c r="BP14" i="23" s="1"/>
  <c r="BQ14" i="23"/>
  <c r="BR14" i="23"/>
  <c r="BS29" i="23"/>
  <c r="BT29" i="23" s="1"/>
  <c r="BU29" i="23" s="1"/>
  <c r="BV29" i="23" s="1"/>
  <c r="H29" i="23" s="1"/>
  <c r="BN22" i="23"/>
  <c r="BO22" i="23" s="1"/>
  <c r="BP22" i="23" s="1"/>
  <c r="BS22" i="23" s="1"/>
  <c r="BT22" i="23" s="1"/>
  <c r="BU22" i="23" s="1"/>
  <c r="BV22" i="23" s="1"/>
  <c r="H22" i="23" s="1"/>
  <c r="BQ22" i="23"/>
  <c r="BR22" i="23"/>
  <c r="BS16" i="23"/>
  <c r="BT16" i="23" s="1"/>
  <c r="BU16" i="23" s="1"/>
  <c r="BV16" i="23" s="1"/>
  <c r="H16" i="23" s="1"/>
  <c r="AC16" i="23" s="1"/>
  <c r="BS25" i="23"/>
  <c r="BT25" i="23" s="1"/>
  <c r="BU25" i="23" s="1"/>
  <c r="BV25" i="23" s="1"/>
  <c r="H25" i="23" s="1"/>
  <c r="BN44" i="23"/>
  <c r="BO44" i="23" s="1"/>
  <c r="BP44" i="23" s="1"/>
  <c r="BQ44" i="23"/>
  <c r="BR44" i="23"/>
  <c r="BN35" i="23"/>
  <c r="BO35" i="23" s="1"/>
  <c r="BP35" i="23" s="1"/>
  <c r="BQ35" i="23"/>
  <c r="BR35" i="23"/>
  <c r="AO51" i="23"/>
  <c r="O51" i="23"/>
  <c r="AN51" i="23"/>
  <c r="AD51" i="23"/>
  <c r="BQ19" i="23"/>
  <c r="BR19" i="23"/>
  <c r="BN19" i="23"/>
  <c r="BO19" i="23" s="1"/>
  <c r="BP19" i="23" s="1"/>
  <c r="BS19" i="23" s="1"/>
  <c r="BT19" i="23" s="1"/>
  <c r="BU19" i="23" s="1"/>
  <c r="BV19" i="23" s="1"/>
  <c r="H19" i="23" s="1"/>
  <c r="AC27" i="23"/>
  <c r="AC29" i="23"/>
  <c r="AC38" i="23"/>
  <c r="BN33" i="23"/>
  <c r="BO33" i="23" s="1"/>
  <c r="BP33" i="23" s="1"/>
  <c r="BR33" i="23"/>
  <c r="BQ33" i="23"/>
  <c r="AC51" i="23"/>
  <c r="BS27" i="23"/>
  <c r="BT27" i="23" s="1"/>
  <c r="BU27" i="23" s="1"/>
  <c r="BV27" i="23" s="1"/>
  <c r="H27" i="23" s="1"/>
  <c r="BN36" i="23"/>
  <c r="BO36" i="23" s="1"/>
  <c r="BP36" i="23" s="1"/>
  <c r="BS36" i="23" s="1"/>
  <c r="BT36" i="23" s="1"/>
  <c r="BU36" i="23" s="1"/>
  <c r="BV36" i="23" s="1"/>
  <c r="H36" i="23" s="1"/>
  <c r="AC36" i="23" s="1"/>
  <c r="BQ36" i="23"/>
  <c r="BR36" i="23"/>
  <c r="AC17" i="23"/>
  <c r="AC39" i="23"/>
  <c r="BS38" i="23"/>
  <c r="BT38" i="23" s="1"/>
  <c r="BU38" i="23" s="1"/>
  <c r="BV38" i="23" s="1"/>
  <c r="H38" i="23" s="1"/>
  <c r="AN38" i="23" s="1"/>
  <c r="AD50" i="23"/>
  <c r="AO50" i="23"/>
  <c r="O50" i="23"/>
  <c r="BN46" i="23"/>
  <c r="BO46" i="23" s="1"/>
  <c r="BP46" i="23" s="1"/>
  <c r="BS46" i="23" s="1"/>
  <c r="BT46" i="23" s="1"/>
  <c r="BU46" i="23" s="1"/>
  <c r="BV46" i="23" s="1"/>
  <c r="H46" i="23" s="1"/>
  <c r="AC46" i="23" s="1"/>
  <c r="BQ46" i="23"/>
  <c r="BR46" i="23"/>
  <c r="AN50" i="23"/>
  <c r="BD4" i="23"/>
  <c r="O49" i="23"/>
  <c r="AO49" i="23"/>
  <c r="AD49" i="23"/>
  <c r="BK42" i="23"/>
  <c r="BL42" i="23" s="1"/>
  <c r="BM42" i="23" s="1"/>
  <c r="BD3" i="23"/>
  <c r="BR37" i="23"/>
  <c r="BN37" i="23"/>
  <c r="BO37" i="23" s="1"/>
  <c r="BP37" i="23" s="1"/>
  <c r="BS37" i="23" s="1"/>
  <c r="BT37" i="23" s="1"/>
  <c r="BU37" i="23" s="1"/>
  <c r="BV37" i="23" s="1"/>
  <c r="H37" i="23" s="1"/>
  <c r="BQ37" i="23"/>
  <c r="AC50" i="23"/>
  <c r="BQ43" i="23"/>
  <c r="BR43" i="23"/>
  <c r="BN43" i="23"/>
  <c r="BO43" i="23" s="1"/>
  <c r="BP43" i="23" s="1"/>
  <c r="BR13" i="23"/>
  <c r="BN13" i="23"/>
  <c r="BO13" i="23" s="1"/>
  <c r="BP13" i="23" s="1"/>
  <c r="BQ13" i="23"/>
  <c r="AD48" i="23"/>
  <c r="AO48" i="23"/>
  <c r="O48" i="23"/>
  <c r="BN20" i="23"/>
  <c r="BO20" i="23" s="1"/>
  <c r="BP20" i="23" s="1"/>
  <c r="BQ20" i="23"/>
  <c r="BR20" i="23"/>
  <c r="BQ26" i="23"/>
  <c r="BR26" i="23"/>
  <c r="BN26" i="23"/>
  <c r="BO26" i="23" s="1"/>
  <c r="BP26" i="23" s="1"/>
  <c r="BS26" i="23" s="1"/>
  <c r="BT26" i="23" s="1"/>
  <c r="BU26" i="23" s="1"/>
  <c r="BV26" i="23" s="1"/>
  <c r="H26" i="23" s="1"/>
  <c r="BK54" i="23"/>
  <c r="BL54" i="23" s="1"/>
  <c r="BM54" i="23" s="1"/>
  <c r="AD53" i="23"/>
  <c r="AO53" i="23"/>
  <c r="O53" i="23"/>
  <c r="BN52" i="23"/>
  <c r="BO52" i="23" s="1"/>
  <c r="BP52" i="23" s="1"/>
  <c r="BS52" i="23" s="1"/>
  <c r="BT52" i="23" s="1"/>
  <c r="BU52" i="23" s="1"/>
  <c r="BV52" i="23" s="1"/>
  <c r="H52" i="23" s="1"/>
  <c r="BQ52" i="23"/>
  <c r="BR52" i="23"/>
  <c r="BK18" i="23"/>
  <c r="BL18" i="23" s="1"/>
  <c r="BM18" i="23" s="1"/>
  <c r="BK24" i="23"/>
  <c r="BL24" i="23" s="1"/>
  <c r="BM24" i="23" s="1"/>
  <c r="AN16" i="23"/>
  <c r="BN40" i="23"/>
  <c r="BO40" i="23" s="1"/>
  <c r="BP40" i="23" s="1"/>
  <c r="BQ40" i="23"/>
  <c r="BR40" i="23"/>
  <c r="AN49" i="23"/>
  <c r="BQ14" i="22"/>
  <c r="BR14" i="22"/>
  <c r="BN14" i="22"/>
  <c r="BO14" i="22" s="1"/>
  <c r="BP14" i="22" s="1"/>
  <c r="BS14" i="22" s="1"/>
  <c r="BT14" i="22" s="1"/>
  <c r="BU14" i="22" s="1"/>
  <c r="BV14" i="22" s="1"/>
  <c r="H14" i="22" s="1"/>
  <c r="BQ36" i="22"/>
  <c r="BR36" i="22"/>
  <c r="BN36" i="22"/>
  <c r="BO36" i="22" s="1"/>
  <c r="BP36" i="22" s="1"/>
  <c r="BS36" i="22" s="1"/>
  <c r="BT36" i="22" s="1"/>
  <c r="BU36" i="22" s="1"/>
  <c r="BV36" i="22" s="1"/>
  <c r="H36" i="22" s="1"/>
  <c r="BN20" i="22"/>
  <c r="BO20" i="22" s="1"/>
  <c r="BP20" i="22" s="1"/>
  <c r="BQ20" i="22"/>
  <c r="BR20" i="22"/>
  <c r="BN35" i="22"/>
  <c r="BO35" i="22" s="1"/>
  <c r="BP35" i="22" s="1"/>
  <c r="BQ35" i="22"/>
  <c r="BR35" i="22"/>
  <c r="BQ23" i="22"/>
  <c r="BR23" i="22"/>
  <c r="BN23" i="22"/>
  <c r="BO23" i="22" s="1"/>
  <c r="BP23" i="22" s="1"/>
  <c r="BS23" i="22" s="1"/>
  <c r="BT23" i="22" s="1"/>
  <c r="BU23" i="22" s="1"/>
  <c r="BV23" i="22" s="1"/>
  <c r="H23" i="22" s="1"/>
  <c r="BQ38" i="22"/>
  <c r="BN38" i="22"/>
  <c r="BO38" i="22" s="1"/>
  <c r="BP38" i="22" s="1"/>
  <c r="BR38" i="22"/>
  <c r="BQ40" i="22"/>
  <c r="BR40" i="22"/>
  <c r="BN40" i="22"/>
  <c r="BO40" i="22" s="1"/>
  <c r="BP40" i="22" s="1"/>
  <c r="BS40" i="22" s="1"/>
  <c r="BT40" i="22" s="1"/>
  <c r="BU40" i="22" s="1"/>
  <c r="BV40" i="22" s="1"/>
  <c r="H40" i="22" s="1"/>
  <c r="BN30" i="22"/>
  <c r="BO30" i="22" s="1"/>
  <c r="BP30" i="22" s="1"/>
  <c r="BQ30" i="22"/>
  <c r="BR30" i="22"/>
  <c r="BQ21" i="22"/>
  <c r="BR21" i="22"/>
  <c r="BN21" i="22"/>
  <c r="BO21" i="22" s="1"/>
  <c r="BP21" i="22" s="1"/>
  <c r="BS21" i="22" s="1"/>
  <c r="BT21" i="22" s="1"/>
  <c r="BU21" i="22" s="1"/>
  <c r="BV21" i="22" s="1"/>
  <c r="H21" i="22" s="1"/>
  <c r="BN34" i="22"/>
  <c r="BO34" i="22" s="1"/>
  <c r="BP34" i="22" s="1"/>
  <c r="BQ34" i="22"/>
  <c r="BR34" i="22"/>
  <c r="BN27" i="22"/>
  <c r="BO27" i="22" s="1"/>
  <c r="BP27" i="22" s="1"/>
  <c r="BQ27" i="22"/>
  <c r="BR27" i="22"/>
  <c r="BN15" i="22"/>
  <c r="BO15" i="22" s="1"/>
  <c r="BP15" i="22" s="1"/>
  <c r="BS15" i="22" s="1"/>
  <c r="BT15" i="22" s="1"/>
  <c r="BU15" i="22" s="1"/>
  <c r="BV15" i="22" s="1"/>
  <c r="H15" i="22" s="1"/>
  <c r="BQ15" i="22"/>
  <c r="BR15" i="22"/>
  <c r="O19" i="22"/>
  <c r="AO19" i="22"/>
  <c r="AD19" i="22"/>
  <c r="BN37" i="22"/>
  <c r="BO37" i="22" s="1"/>
  <c r="BP37" i="22" s="1"/>
  <c r="BQ37" i="22"/>
  <c r="BR37" i="22"/>
  <c r="BN29" i="22"/>
  <c r="BO29" i="22" s="1"/>
  <c r="BP29" i="22" s="1"/>
  <c r="BQ29" i="22"/>
  <c r="BR29" i="22"/>
  <c r="AC19" i="22"/>
  <c r="BN22" i="22"/>
  <c r="BO22" i="22" s="1"/>
  <c r="BP22" i="22" s="1"/>
  <c r="BS22" i="22" s="1"/>
  <c r="BT22" i="22" s="1"/>
  <c r="BU22" i="22" s="1"/>
  <c r="BV22" i="22" s="1"/>
  <c r="H22" i="22" s="1"/>
  <c r="BQ22" i="22"/>
  <c r="BR22" i="22"/>
  <c r="BN33" i="22"/>
  <c r="BO33" i="22" s="1"/>
  <c r="BP33" i="22" s="1"/>
  <c r="BQ33" i="22"/>
  <c r="BR33" i="22"/>
  <c r="BK24" i="22"/>
  <c r="BL24" i="22" s="1"/>
  <c r="BM24" i="22" s="1"/>
  <c r="BN32" i="22"/>
  <c r="BO32" i="22" s="1"/>
  <c r="BP32" i="22" s="1"/>
  <c r="BQ32" i="22"/>
  <c r="BR32" i="22"/>
  <c r="BQ25" i="22"/>
  <c r="BR25" i="22"/>
  <c r="BN25" i="22"/>
  <c r="BO25" i="22" s="1"/>
  <c r="BP25" i="22" s="1"/>
  <c r="BS25" i="22" s="1"/>
  <c r="BT25" i="22" s="1"/>
  <c r="BU25" i="22" s="1"/>
  <c r="BV25" i="22" s="1"/>
  <c r="H25" i="22" s="1"/>
  <c r="BN18" i="22"/>
  <c r="BO18" i="22" s="1"/>
  <c r="BP18" i="22" s="1"/>
  <c r="BQ18" i="22"/>
  <c r="BR18" i="22"/>
  <c r="AC36" i="22"/>
  <c r="BR28" i="22"/>
  <c r="BN28" i="22"/>
  <c r="BO28" i="22" s="1"/>
  <c r="BP28" i="22" s="1"/>
  <c r="BS28" i="22" s="1"/>
  <c r="BT28" i="22" s="1"/>
  <c r="BU28" i="22" s="1"/>
  <c r="BV28" i="22" s="1"/>
  <c r="H28" i="22" s="1"/>
  <c r="BQ28" i="22"/>
  <c r="BN16" i="22"/>
  <c r="BO16" i="22" s="1"/>
  <c r="BP16" i="22" s="1"/>
  <c r="BS16" i="22" s="1"/>
  <c r="BT16" i="22" s="1"/>
  <c r="BU16" i="22" s="1"/>
  <c r="BV16" i="22" s="1"/>
  <c r="H16" i="22" s="1"/>
  <c r="BQ16" i="22"/>
  <c r="BR16" i="22"/>
  <c r="BN31" i="22"/>
  <c r="BO31" i="22" s="1"/>
  <c r="BP31" i="22" s="1"/>
  <c r="BS31" i="22" s="1"/>
  <c r="BT31" i="22" s="1"/>
  <c r="BU31" i="22" s="1"/>
  <c r="BV31" i="22" s="1"/>
  <c r="H31" i="22" s="1"/>
  <c r="BQ31" i="22"/>
  <c r="BR31" i="22"/>
  <c r="BN26" i="22"/>
  <c r="BO26" i="22" s="1"/>
  <c r="BP26" i="22" s="1"/>
  <c r="BS26" i="22" s="1"/>
  <c r="BT26" i="22" s="1"/>
  <c r="BU26" i="22" s="1"/>
  <c r="BV26" i="22" s="1"/>
  <c r="H26" i="22" s="1"/>
  <c r="BQ26" i="22"/>
  <c r="BR26" i="22"/>
  <c r="AN19" i="22"/>
  <c r="BK13" i="22"/>
  <c r="BL13" i="22" s="1"/>
  <c r="BM13" i="22" s="1"/>
  <c r="BS17" i="22"/>
  <c r="BT17" i="22" s="1"/>
  <c r="BU17" i="22" s="1"/>
  <c r="BV17" i="22" s="1"/>
  <c r="H17" i="22" s="1"/>
  <c r="O39" i="22"/>
  <c r="AD39" i="22"/>
  <c r="AN39" i="22"/>
  <c r="AO39" i="22"/>
  <c r="BD4" i="22"/>
  <c r="W22" i="21"/>
  <c r="W19" i="21"/>
  <c r="X22" i="21"/>
  <c r="X25" i="21"/>
  <c r="X19" i="21"/>
  <c r="X16" i="21"/>
  <c r="W16" i="21"/>
  <c r="W13" i="21"/>
  <c r="W25" i="21"/>
  <c r="AA19" i="21" l="1"/>
  <c r="AC19" i="21" s="1"/>
  <c r="AA16" i="21"/>
  <c r="AC16" i="21" s="1"/>
  <c r="AA22" i="21"/>
  <c r="AC22" i="21" s="1"/>
  <c r="AA25" i="21"/>
  <c r="AC25" i="21" s="1"/>
  <c r="AA13" i="21"/>
  <c r="AC13" i="21" s="1"/>
  <c r="AD15" i="25"/>
  <c r="AO15" i="25"/>
  <c r="O15" i="25"/>
  <c r="AC15" i="25"/>
  <c r="AN15" i="25"/>
  <c r="BS16" i="25"/>
  <c r="BT16" i="25" s="1"/>
  <c r="BU16" i="25" s="1"/>
  <c r="BV16" i="25" s="1"/>
  <c r="H16" i="25" s="1"/>
  <c r="BN45" i="25"/>
  <c r="BO45" i="25" s="1"/>
  <c r="BP45" i="25" s="1"/>
  <c r="BS45" i="25" s="1"/>
  <c r="BT45" i="25" s="1"/>
  <c r="BU45" i="25" s="1"/>
  <c r="BV45" i="25" s="1"/>
  <c r="H45" i="25" s="1"/>
  <c r="BR45" i="25"/>
  <c r="BQ45" i="25"/>
  <c r="BS44" i="25"/>
  <c r="BT44" i="25" s="1"/>
  <c r="BU44" i="25" s="1"/>
  <c r="BV44" i="25" s="1"/>
  <c r="H44" i="25" s="1"/>
  <c r="BS42" i="25"/>
  <c r="BT42" i="25" s="1"/>
  <c r="BU42" i="25" s="1"/>
  <c r="BV42" i="25" s="1"/>
  <c r="H42" i="25" s="1"/>
  <c r="BS43" i="25"/>
  <c r="BT43" i="25" s="1"/>
  <c r="BU43" i="25" s="1"/>
  <c r="BV43" i="25" s="1"/>
  <c r="H43" i="25" s="1"/>
  <c r="AD24" i="25"/>
  <c r="AO24" i="25"/>
  <c r="O24" i="25"/>
  <c r="AD18" i="25"/>
  <c r="AO18" i="25"/>
  <c r="O18" i="25"/>
  <c r="AC18" i="25"/>
  <c r="AN18" i="25"/>
  <c r="AO27" i="25"/>
  <c r="O27" i="25"/>
  <c r="AD27" i="25"/>
  <c r="AN27" i="25"/>
  <c r="AC27" i="25"/>
  <c r="BS21" i="25"/>
  <c r="BT21" i="25" s="1"/>
  <c r="BU21" i="25" s="1"/>
  <c r="BV21" i="25" s="1"/>
  <c r="H21" i="25" s="1"/>
  <c r="BS31" i="25"/>
  <c r="BT31" i="25" s="1"/>
  <c r="BU31" i="25" s="1"/>
  <c r="BV31" i="25" s="1"/>
  <c r="H31" i="25" s="1"/>
  <c r="BS41" i="25"/>
  <c r="BT41" i="25" s="1"/>
  <c r="BU41" i="25" s="1"/>
  <c r="BV41" i="25" s="1"/>
  <c r="H41" i="25" s="1"/>
  <c r="BS34" i="25"/>
  <c r="BT34" i="25" s="1"/>
  <c r="BU34" i="25" s="1"/>
  <c r="BV34" i="25" s="1"/>
  <c r="H34" i="25" s="1"/>
  <c r="BS26" i="25"/>
  <c r="BT26" i="25" s="1"/>
  <c r="BU26" i="25" s="1"/>
  <c r="BV26" i="25" s="1"/>
  <c r="H26" i="25" s="1"/>
  <c r="BS17" i="25"/>
  <c r="BT17" i="25" s="1"/>
  <c r="BU17" i="25" s="1"/>
  <c r="BV17" i="25" s="1"/>
  <c r="H17" i="25" s="1"/>
  <c r="BS38" i="25"/>
  <c r="BT38" i="25" s="1"/>
  <c r="BU38" i="25" s="1"/>
  <c r="BV38" i="25" s="1"/>
  <c r="H38" i="25" s="1"/>
  <c r="BS30" i="25"/>
  <c r="BT30" i="25" s="1"/>
  <c r="BU30" i="25" s="1"/>
  <c r="BV30" i="25" s="1"/>
  <c r="H30" i="25" s="1"/>
  <c r="BN20" i="25"/>
  <c r="BO20" i="25" s="1"/>
  <c r="BP20" i="25" s="1"/>
  <c r="BQ20" i="25"/>
  <c r="BR20" i="25"/>
  <c r="AD28" i="25"/>
  <c r="AO28" i="25"/>
  <c r="O28" i="25"/>
  <c r="AC28" i="25"/>
  <c r="BS14" i="25"/>
  <c r="BT14" i="25" s="1"/>
  <c r="BU14" i="25" s="1"/>
  <c r="BV14" i="25" s="1"/>
  <c r="H14" i="25" s="1"/>
  <c r="BN32" i="25"/>
  <c r="BO32" i="25" s="1"/>
  <c r="BP32" i="25" s="1"/>
  <c r="BR32" i="25"/>
  <c r="BQ32" i="25"/>
  <c r="BS25" i="25"/>
  <c r="BT25" i="25" s="1"/>
  <c r="BU25" i="25" s="1"/>
  <c r="BV25" i="25" s="1"/>
  <c r="H25" i="25" s="1"/>
  <c r="AD39" i="25"/>
  <c r="O39" i="25"/>
  <c r="AN39" i="25"/>
  <c r="AO39" i="25"/>
  <c r="AC39" i="25"/>
  <c r="O40" i="25"/>
  <c r="AD40" i="25"/>
  <c r="AO40" i="25"/>
  <c r="AC40" i="25"/>
  <c r="AN40" i="25"/>
  <c r="AC24" i="25"/>
  <c r="BN13" i="25"/>
  <c r="BO13" i="25" s="1"/>
  <c r="BP13" i="25" s="1"/>
  <c r="BR13" i="25"/>
  <c r="BQ13" i="25"/>
  <c r="BN22" i="25"/>
  <c r="BO22" i="25" s="1"/>
  <c r="BP22" i="25" s="1"/>
  <c r="BS22" i="25" s="1"/>
  <c r="BT22" i="25" s="1"/>
  <c r="BU22" i="25" s="1"/>
  <c r="BV22" i="25" s="1"/>
  <c r="H22" i="25" s="1"/>
  <c r="BQ22" i="25"/>
  <c r="BR22" i="25"/>
  <c r="BQ19" i="25"/>
  <c r="BN19" i="25"/>
  <c r="BO19" i="25" s="1"/>
  <c r="BP19" i="25" s="1"/>
  <c r="BR19" i="25"/>
  <c r="BN33" i="25"/>
  <c r="BO33" i="25" s="1"/>
  <c r="BP33" i="25" s="1"/>
  <c r="BQ33" i="25"/>
  <c r="BR33" i="25"/>
  <c r="BS29" i="25"/>
  <c r="BT29" i="25" s="1"/>
  <c r="BU29" i="25" s="1"/>
  <c r="BV29" i="25" s="1"/>
  <c r="H29" i="25" s="1"/>
  <c r="BS23" i="25"/>
  <c r="BT23" i="25" s="1"/>
  <c r="BU23" i="25" s="1"/>
  <c r="BV23" i="25" s="1"/>
  <c r="H23" i="25" s="1"/>
  <c r="BS36" i="25"/>
  <c r="BT36" i="25" s="1"/>
  <c r="BU36" i="25" s="1"/>
  <c r="BV36" i="25" s="1"/>
  <c r="H36" i="25" s="1"/>
  <c r="O13" i="24"/>
  <c r="AO13" i="24"/>
  <c r="AD13" i="24"/>
  <c r="AC13" i="24"/>
  <c r="AN13" i="24"/>
  <c r="BS34" i="24"/>
  <c r="BT34" i="24" s="1"/>
  <c r="BU34" i="24" s="1"/>
  <c r="BV34" i="24" s="1"/>
  <c r="H34" i="24" s="1"/>
  <c r="BS21" i="24"/>
  <c r="BT21" i="24" s="1"/>
  <c r="BU21" i="24" s="1"/>
  <c r="BV21" i="24" s="1"/>
  <c r="H21" i="24" s="1"/>
  <c r="BS23" i="24"/>
  <c r="BT23" i="24" s="1"/>
  <c r="BU23" i="24" s="1"/>
  <c r="BV23" i="24" s="1"/>
  <c r="H23" i="24" s="1"/>
  <c r="BS24" i="24"/>
  <c r="BT24" i="24" s="1"/>
  <c r="BU24" i="24" s="1"/>
  <c r="BV24" i="24" s="1"/>
  <c r="H24" i="24" s="1"/>
  <c r="BS37" i="24"/>
  <c r="BT37" i="24" s="1"/>
  <c r="BU37" i="24" s="1"/>
  <c r="BV37" i="24" s="1"/>
  <c r="H37" i="24" s="1"/>
  <c r="O16" i="24"/>
  <c r="AO16" i="24"/>
  <c r="AD16" i="24"/>
  <c r="AC16" i="24"/>
  <c r="O15" i="24"/>
  <c r="AD15" i="24"/>
  <c r="AO15" i="24"/>
  <c r="AC15" i="24"/>
  <c r="AN15" i="24"/>
  <c r="BS14" i="24"/>
  <c r="BT14" i="24" s="1"/>
  <c r="BU14" i="24" s="1"/>
  <c r="BV14" i="24" s="1"/>
  <c r="H14" i="24" s="1"/>
  <c r="BS18" i="24"/>
  <c r="BT18" i="24" s="1"/>
  <c r="BU18" i="24" s="1"/>
  <c r="BV18" i="24" s="1"/>
  <c r="H18" i="24" s="1"/>
  <c r="AD22" i="24"/>
  <c r="AO22" i="24"/>
  <c r="O22" i="24"/>
  <c r="AC22" i="24"/>
  <c r="BN30" i="24"/>
  <c r="BO30" i="24" s="1"/>
  <c r="BP30" i="24" s="1"/>
  <c r="BQ30" i="24"/>
  <c r="BR30" i="24"/>
  <c r="AN16" i="24"/>
  <c r="BS19" i="24"/>
  <c r="BT19" i="24" s="1"/>
  <c r="BU19" i="24" s="1"/>
  <c r="BV19" i="24" s="1"/>
  <c r="H19" i="24" s="1"/>
  <c r="BS29" i="24"/>
  <c r="BT29" i="24" s="1"/>
  <c r="BU29" i="24" s="1"/>
  <c r="BV29" i="24" s="1"/>
  <c r="H29" i="24" s="1"/>
  <c r="BS27" i="24"/>
  <c r="BT27" i="24" s="1"/>
  <c r="BU27" i="24" s="1"/>
  <c r="BV27" i="24" s="1"/>
  <c r="H27" i="24" s="1"/>
  <c r="AN32" i="24"/>
  <c r="AO32" i="24"/>
  <c r="AD32" i="24"/>
  <c r="O32" i="24"/>
  <c r="AC32" i="24"/>
  <c r="AD35" i="24"/>
  <c r="O35" i="24"/>
  <c r="AO35" i="24"/>
  <c r="AC35" i="24"/>
  <c r="AN35" i="24"/>
  <c r="BS36" i="24"/>
  <c r="BT36" i="24" s="1"/>
  <c r="BU36" i="24" s="1"/>
  <c r="BV36" i="24" s="1"/>
  <c r="H36" i="24" s="1"/>
  <c r="BS20" i="24"/>
  <c r="BT20" i="24" s="1"/>
  <c r="BU20" i="24" s="1"/>
  <c r="BV20" i="24" s="1"/>
  <c r="H20" i="24" s="1"/>
  <c r="BS26" i="24"/>
  <c r="BT26" i="24" s="1"/>
  <c r="BU26" i="24" s="1"/>
  <c r="BV26" i="24" s="1"/>
  <c r="H26" i="24" s="1"/>
  <c r="BN17" i="24"/>
  <c r="BO17" i="24" s="1"/>
  <c r="BP17" i="24" s="1"/>
  <c r="BQ17" i="24"/>
  <c r="BR17" i="24"/>
  <c r="BS38" i="24"/>
  <c r="BT38" i="24" s="1"/>
  <c r="BU38" i="24" s="1"/>
  <c r="BV38" i="24" s="1"/>
  <c r="H38" i="24" s="1"/>
  <c r="BS25" i="24"/>
  <c r="BT25" i="24" s="1"/>
  <c r="BU25" i="24" s="1"/>
  <c r="BV25" i="24" s="1"/>
  <c r="H25" i="24" s="1"/>
  <c r="BN28" i="24"/>
  <c r="BO28" i="24" s="1"/>
  <c r="BP28" i="24" s="1"/>
  <c r="BS28" i="24" s="1"/>
  <c r="BT28" i="24" s="1"/>
  <c r="BU28" i="24" s="1"/>
  <c r="BV28" i="24" s="1"/>
  <c r="H28" i="24" s="1"/>
  <c r="BQ28" i="24"/>
  <c r="BR28" i="24"/>
  <c r="AO33" i="24"/>
  <c r="O33" i="24"/>
  <c r="AD33" i="24"/>
  <c r="AN33" i="24"/>
  <c r="BS31" i="24"/>
  <c r="BT31" i="24" s="1"/>
  <c r="BU31" i="24" s="1"/>
  <c r="BV31" i="24" s="1"/>
  <c r="H31" i="24" s="1"/>
  <c r="BS20" i="23"/>
  <c r="BT20" i="23" s="1"/>
  <c r="BU20" i="23" s="1"/>
  <c r="BV20" i="23" s="1"/>
  <c r="H20" i="23" s="1"/>
  <c r="AD29" i="23"/>
  <c r="AO29" i="23"/>
  <c r="O29" i="23"/>
  <c r="AN29" i="23"/>
  <c r="BS45" i="23"/>
  <c r="BT45" i="23" s="1"/>
  <c r="BU45" i="23" s="1"/>
  <c r="BV45" i="23" s="1"/>
  <c r="H45" i="23" s="1"/>
  <c r="AD37" i="23"/>
  <c r="AO37" i="23"/>
  <c r="O37" i="23"/>
  <c r="AC37" i="23"/>
  <c r="BS21" i="23"/>
  <c r="BT21" i="23" s="1"/>
  <c r="BU21" i="23" s="1"/>
  <c r="BV21" i="23" s="1"/>
  <c r="H21" i="23" s="1"/>
  <c r="AO39" i="23"/>
  <c r="O39" i="23"/>
  <c r="AD39" i="23"/>
  <c r="AN39" i="23"/>
  <c r="AD52" i="23"/>
  <c r="AO52" i="23"/>
  <c r="O52" i="23"/>
  <c r="AC52" i="23"/>
  <c r="AG49" i="23" s="1"/>
  <c r="AH49" i="23" s="1"/>
  <c r="AJ49" i="23" s="1"/>
  <c r="AN37" i="23"/>
  <c r="BS35" i="23"/>
  <c r="BT35" i="23" s="1"/>
  <c r="BU35" i="23" s="1"/>
  <c r="BV35" i="23" s="1"/>
  <c r="H35" i="23" s="1"/>
  <c r="BN18" i="23"/>
  <c r="BO18" i="23" s="1"/>
  <c r="BP18" i="23" s="1"/>
  <c r="BS18" i="23" s="1"/>
  <c r="BT18" i="23" s="1"/>
  <c r="BU18" i="23" s="1"/>
  <c r="BV18" i="23" s="1"/>
  <c r="H18" i="23" s="1"/>
  <c r="BQ18" i="23"/>
  <c r="BR18" i="23"/>
  <c r="O19" i="23"/>
  <c r="AO19" i="23"/>
  <c r="AD19" i="23"/>
  <c r="AN19" i="23"/>
  <c r="AC19" i="23"/>
  <c r="BS14" i="23"/>
  <c r="BT14" i="23" s="1"/>
  <c r="BU14" i="23" s="1"/>
  <c r="BV14" i="23" s="1"/>
  <c r="H14" i="23" s="1"/>
  <c r="BS31" i="23"/>
  <c r="BT31" i="23" s="1"/>
  <c r="BU31" i="23" s="1"/>
  <c r="BV31" i="23" s="1"/>
  <c r="H31" i="23" s="1"/>
  <c r="BN42" i="23"/>
  <c r="BO42" i="23" s="1"/>
  <c r="BP42" i="23" s="1"/>
  <c r="BQ42" i="23"/>
  <c r="BR42" i="23"/>
  <c r="AN52" i="23"/>
  <c r="O28" i="23"/>
  <c r="AD28" i="23"/>
  <c r="AO28" i="23"/>
  <c r="AN28" i="23"/>
  <c r="AC28" i="23"/>
  <c r="AO47" i="23"/>
  <c r="AC47" i="23"/>
  <c r="AF46" i="23" s="1"/>
  <c r="AD47" i="23"/>
  <c r="O47" i="23"/>
  <c r="AN47" i="23"/>
  <c r="AO41" i="23"/>
  <c r="O41" i="23"/>
  <c r="AN41" i="23"/>
  <c r="AD41" i="23"/>
  <c r="AC41" i="23"/>
  <c r="AO30" i="23"/>
  <c r="O30" i="23"/>
  <c r="AC30" i="23"/>
  <c r="AD30" i="23"/>
  <c r="AN30" i="23"/>
  <c r="AD38" i="23"/>
  <c r="AO38" i="23"/>
  <c r="O38" i="23"/>
  <c r="AD36" i="23"/>
  <c r="AO36" i="23"/>
  <c r="O36" i="23"/>
  <c r="AN36" i="23"/>
  <c r="AD27" i="23"/>
  <c r="O27" i="23"/>
  <c r="AO27" i="23"/>
  <c r="AN27" i="23"/>
  <c r="BS44" i="23"/>
  <c r="BT44" i="23" s="1"/>
  <c r="BU44" i="23" s="1"/>
  <c r="BV44" i="23" s="1"/>
  <c r="H44" i="23" s="1"/>
  <c r="BS15" i="23"/>
  <c r="BT15" i="23" s="1"/>
  <c r="BU15" i="23" s="1"/>
  <c r="BV15" i="23" s="1"/>
  <c r="H15" i="23" s="1"/>
  <c r="BS40" i="23"/>
  <c r="BT40" i="23" s="1"/>
  <c r="BU40" i="23" s="1"/>
  <c r="BV40" i="23" s="1"/>
  <c r="H40" i="23" s="1"/>
  <c r="BN54" i="23"/>
  <c r="BO54" i="23" s="1"/>
  <c r="BP54" i="23" s="1"/>
  <c r="BS54" i="23" s="1"/>
  <c r="BT54" i="23" s="1"/>
  <c r="BU54" i="23" s="1"/>
  <c r="BV54" i="23" s="1"/>
  <c r="H54" i="23" s="1"/>
  <c r="BR54" i="23"/>
  <c r="BQ54" i="23"/>
  <c r="BS13" i="23"/>
  <c r="BT13" i="23" s="1"/>
  <c r="BU13" i="23" s="1"/>
  <c r="BV13" i="23" s="1"/>
  <c r="H13" i="23" s="1"/>
  <c r="AD25" i="23"/>
  <c r="AO25" i="23"/>
  <c r="O25" i="23"/>
  <c r="AC25" i="23"/>
  <c r="AN25" i="23"/>
  <c r="AO46" i="23"/>
  <c r="AP46" i="23" s="1"/>
  <c r="AD46" i="23"/>
  <c r="O46" i="23"/>
  <c r="AN46" i="23"/>
  <c r="AD16" i="23"/>
  <c r="AO16" i="23"/>
  <c r="O16" i="23"/>
  <c r="AD34" i="23"/>
  <c r="AO34" i="23"/>
  <c r="O34" i="23"/>
  <c r="AC34" i="23"/>
  <c r="AN34" i="23"/>
  <c r="AO17" i="23"/>
  <c r="O17" i="23"/>
  <c r="AD17" i="23"/>
  <c r="AN17" i="23"/>
  <c r="O26" i="23"/>
  <c r="AD26" i="23"/>
  <c r="AN26" i="23"/>
  <c r="AO26" i="23"/>
  <c r="AC26" i="23"/>
  <c r="BS43" i="23"/>
  <c r="BT43" i="23" s="1"/>
  <c r="BU43" i="23" s="1"/>
  <c r="BV43" i="23" s="1"/>
  <c r="H43" i="23" s="1"/>
  <c r="AE49" i="23"/>
  <c r="BS32" i="23"/>
  <c r="BT32" i="23" s="1"/>
  <c r="BU32" i="23" s="1"/>
  <c r="BV32" i="23" s="1"/>
  <c r="H32" i="23" s="1"/>
  <c r="AF49" i="23"/>
  <c r="AD22" i="23"/>
  <c r="AO22" i="23"/>
  <c r="O22" i="23"/>
  <c r="AC22" i="23"/>
  <c r="AN22" i="23"/>
  <c r="AQ49" i="23"/>
  <c r="AR49" i="23"/>
  <c r="AS49" i="23" s="1"/>
  <c r="AU49" i="23" s="1"/>
  <c r="BN24" i="23"/>
  <c r="BO24" i="23" s="1"/>
  <c r="BP24" i="23" s="1"/>
  <c r="BS24" i="23" s="1"/>
  <c r="BT24" i="23" s="1"/>
  <c r="BU24" i="23" s="1"/>
  <c r="BV24" i="23" s="1"/>
  <c r="H24" i="23" s="1"/>
  <c r="BQ24" i="23"/>
  <c r="BR24" i="23"/>
  <c r="AP49" i="23"/>
  <c r="BS33" i="23"/>
  <c r="BT33" i="23" s="1"/>
  <c r="BU33" i="23" s="1"/>
  <c r="BV33" i="23" s="1"/>
  <c r="H33" i="23" s="1"/>
  <c r="BS23" i="23"/>
  <c r="BT23" i="23" s="1"/>
  <c r="BU23" i="23" s="1"/>
  <c r="BV23" i="23" s="1"/>
  <c r="H23" i="23" s="1"/>
  <c r="AO22" i="22"/>
  <c r="AD22" i="22"/>
  <c r="O22" i="22"/>
  <c r="AN22" i="22"/>
  <c r="AC22" i="22"/>
  <c r="BS30" i="22"/>
  <c r="BT30" i="22" s="1"/>
  <c r="BU30" i="22" s="1"/>
  <c r="BV30" i="22" s="1"/>
  <c r="H30" i="22" s="1"/>
  <c r="BS35" i="22"/>
  <c r="BT35" i="22" s="1"/>
  <c r="BU35" i="22" s="1"/>
  <c r="BV35" i="22" s="1"/>
  <c r="H35" i="22" s="1"/>
  <c r="AO40" i="22"/>
  <c r="O40" i="22"/>
  <c r="AD40" i="22"/>
  <c r="AC40" i="22"/>
  <c r="AN40" i="22"/>
  <c r="BN13" i="22"/>
  <c r="BO13" i="22" s="1"/>
  <c r="BP13" i="22" s="1"/>
  <c r="BQ13" i="22"/>
  <c r="BR13" i="22"/>
  <c r="BS29" i="22"/>
  <c r="BT29" i="22" s="1"/>
  <c r="BU29" i="22" s="1"/>
  <c r="BV29" i="22" s="1"/>
  <c r="H29" i="22" s="1"/>
  <c r="O25" i="22"/>
  <c r="AO25" i="22"/>
  <c r="AD25" i="22"/>
  <c r="AC25" i="22"/>
  <c r="AN25" i="22"/>
  <c r="BS32" i="22"/>
  <c r="BT32" i="22" s="1"/>
  <c r="BU32" i="22" s="1"/>
  <c r="BV32" i="22" s="1"/>
  <c r="H32" i="22" s="1"/>
  <c r="BS27" i="22"/>
  <c r="BT27" i="22" s="1"/>
  <c r="BU27" i="22" s="1"/>
  <c r="BV27" i="22" s="1"/>
  <c r="H27" i="22" s="1"/>
  <c r="BS20" i="22"/>
  <c r="BT20" i="22" s="1"/>
  <c r="BU20" i="22" s="1"/>
  <c r="BV20" i="22" s="1"/>
  <c r="H20" i="22" s="1"/>
  <c r="O16" i="22"/>
  <c r="AO16" i="22"/>
  <c r="AD16" i="22"/>
  <c r="AN16" i="22"/>
  <c r="O36" i="22"/>
  <c r="AD36" i="22"/>
  <c r="AN36" i="22"/>
  <c r="AO36" i="22"/>
  <c r="BS37" i="22"/>
  <c r="BT37" i="22" s="1"/>
  <c r="BU37" i="22" s="1"/>
  <c r="BV37" i="22" s="1"/>
  <c r="H37" i="22" s="1"/>
  <c r="BS38" i="22"/>
  <c r="BT38" i="22" s="1"/>
  <c r="BU38" i="22" s="1"/>
  <c r="BV38" i="22" s="1"/>
  <c r="H38" i="22" s="1"/>
  <c r="AO28" i="22"/>
  <c r="AD28" i="22"/>
  <c r="O28" i="22"/>
  <c r="AN28" i="22"/>
  <c r="AC16" i="22"/>
  <c r="BS34" i="22"/>
  <c r="BT34" i="22" s="1"/>
  <c r="BU34" i="22" s="1"/>
  <c r="BV34" i="22" s="1"/>
  <c r="H34" i="22" s="1"/>
  <c r="AD31" i="22"/>
  <c r="O31" i="22"/>
  <c r="AO31" i="22"/>
  <c r="AC31" i="22"/>
  <c r="AN31" i="22"/>
  <c r="AO21" i="22"/>
  <c r="O21" i="22"/>
  <c r="AD21" i="22"/>
  <c r="AN21" i="22"/>
  <c r="AC21" i="22"/>
  <c r="O14" i="22"/>
  <c r="AD14" i="22"/>
  <c r="AN14" i="22"/>
  <c r="AO14" i="22"/>
  <c r="AC14" i="22"/>
  <c r="AD26" i="22"/>
  <c r="AO26" i="22"/>
  <c r="O26" i="22"/>
  <c r="AN26" i="22"/>
  <c r="AC26" i="22"/>
  <c r="AO23" i="22"/>
  <c r="O23" i="22"/>
  <c r="AD23" i="22"/>
  <c r="AN23" i="22"/>
  <c r="AC23" i="22"/>
  <c r="AD17" i="22"/>
  <c r="AO17" i="22"/>
  <c r="O17" i="22"/>
  <c r="AN17" i="22"/>
  <c r="AC17" i="22"/>
  <c r="AD15" i="22"/>
  <c r="AN15" i="22"/>
  <c r="AO15" i="22"/>
  <c r="O15" i="22"/>
  <c r="AC15" i="22"/>
  <c r="AC28" i="22"/>
  <c r="BN24" i="22"/>
  <c r="BO24" i="22" s="1"/>
  <c r="BP24" i="22" s="1"/>
  <c r="BS24" i="22" s="1"/>
  <c r="BT24" i="22" s="1"/>
  <c r="BU24" i="22" s="1"/>
  <c r="BV24" i="22" s="1"/>
  <c r="H24" i="22" s="1"/>
  <c r="BQ24" i="22"/>
  <c r="BR24" i="22"/>
  <c r="BS33" i="22"/>
  <c r="BT33" i="22" s="1"/>
  <c r="BU33" i="22" s="1"/>
  <c r="BV33" i="22" s="1"/>
  <c r="H33" i="22" s="1"/>
  <c r="BS18" i="22"/>
  <c r="BT18" i="22" s="1"/>
  <c r="BU18" i="22" s="1"/>
  <c r="BV18" i="22" s="1"/>
  <c r="H18" i="22" s="1"/>
  <c r="AC9" i="21" l="1"/>
  <c r="O36" i="25"/>
  <c r="AO36" i="25"/>
  <c r="AD36" i="25"/>
  <c r="AC36" i="25"/>
  <c r="AN36" i="25"/>
  <c r="BS13" i="25"/>
  <c r="BT13" i="25" s="1"/>
  <c r="BU13" i="25" s="1"/>
  <c r="BV13" i="25" s="1"/>
  <c r="H13" i="25" s="1"/>
  <c r="O25" i="25"/>
  <c r="AO25" i="25"/>
  <c r="AD25" i="25"/>
  <c r="AE25" i="25" s="1"/>
  <c r="AN25" i="25"/>
  <c r="AC25" i="25"/>
  <c r="AO30" i="25"/>
  <c r="AD30" i="25"/>
  <c r="O30" i="25"/>
  <c r="AN30" i="25"/>
  <c r="AC30" i="25"/>
  <c r="O42" i="25"/>
  <c r="AO42" i="25"/>
  <c r="AD42" i="25"/>
  <c r="AN42" i="25"/>
  <c r="AC42" i="25"/>
  <c r="AO29" i="25"/>
  <c r="O29" i="25"/>
  <c r="AC29" i="25"/>
  <c r="AD29" i="25"/>
  <c r="AN29" i="25"/>
  <c r="O38" i="25"/>
  <c r="AD38" i="25"/>
  <c r="AO38" i="25"/>
  <c r="AN38" i="25"/>
  <c r="AC38" i="25"/>
  <c r="AD22" i="25"/>
  <c r="AE22" i="25" s="1"/>
  <c r="O22" i="25"/>
  <c r="AO22" i="25"/>
  <c r="AP22" i="25" s="1"/>
  <c r="AC22" i="25"/>
  <c r="AN22" i="25"/>
  <c r="AD45" i="25"/>
  <c r="AO45" i="25"/>
  <c r="O45" i="25"/>
  <c r="AN45" i="25"/>
  <c r="AC45" i="25"/>
  <c r="BS20" i="25"/>
  <c r="BT20" i="25" s="1"/>
  <c r="BU20" i="25" s="1"/>
  <c r="BV20" i="25" s="1"/>
  <c r="H20" i="25" s="1"/>
  <c r="BS32" i="25"/>
  <c r="BT32" i="25" s="1"/>
  <c r="BU32" i="25" s="1"/>
  <c r="BV32" i="25" s="1"/>
  <c r="H32" i="25" s="1"/>
  <c r="AD26" i="25"/>
  <c r="AO26" i="25"/>
  <c r="O26" i="25"/>
  <c r="AN26" i="25"/>
  <c r="AC26" i="25"/>
  <c r="O16" i="25"/>
  <c r="AO16" i="25"/>
  <c r="AC16" i="25"/>
  <c r="AD16" i="25"/>
  <c r="AN16" i="25"/>
  <c r="AO44" i="25"/>
  <c r="O44" i="25"/>
  <c r="AD44" i="25"/>
  <c r="AC44" i="25"/>
  <c r="AN44" i="25"/>
  <c r="AO14" i="25"/>
  <c r="AD14" i="25"/>
  <c r="O14" i="25"/>
  <c r="AC14" i="25"/>
  <c r="AN14" i="25"/>
  <c r="AD34" i="25"/>
  <c r="O34" i="25"/>
  <c r="AO34" i="25"/>
  <c r="AC34" i="25"/>
  <c r="AN34" i="25"/>
  <c r="AD43" i="25"/>
  <c r="AO43" i="25"/>
  <c r="O43" i="25"/>
  <c r="AN43" i="25"/>
  <c r="AC43" i="25"/>
  <c r="AD23" i="25"/>
  <c r="O23" i="25"/>
  <c r="AO23" i="25"/>
  <c r="AC23" i="25"/>
  <c r="AN23" i="25"/>
  <c r="O17" i="25"/>
  <c r="AD17" i="25"/>
  <c r="AN17" i="25"/>
  <c r="AO17" i="25"/>
  <c r="AC17" i="25"/>
  <c r="BS19" i="25"/>
  <c r="BT19" i="25" s="1"/>
  <c r="BU19" i="25" s="1"/>
  <c r="BV19" i="25" s="1"/>
  <c r="H19" i="25" s="1"/>
  <c r="AD41" i="25"/>
  <c r="AE39" i="25" s="1"/>
  <c r="AO41" i="25"/>
  <c r="O41" i="25"/>
  <c r="AC41" i="25"/>
  <c r="AF39" i="25" s="1"/>
  <c r="AN41" i="25"/>
  <c r="BS33" i="25"/>
  <c r="BT33" i="25" s="1"/>
  <c r="BU33" i="25" s="1"/>
  <c r="BV33" i="25" s="1"/>
  <c r="H33" i="25" s="1"/>
  <c r="AO31" i="25"/>
  <c r="O31" i="25"/>
  <c r="AD31" i="25"/>
  <c r="AC31" i="25"/>
  <c r="AN31" i="25"/>
  <c r="AG39" i="25"/>
  <c r="AH39" i="25" s="1"/>
  <c r="AJ39" i="25" s="1"/>
  <c r="AD21" i="25"/>
  <c r="AN21" i="25"/>
  <c r="O21" i="25"/>
  <c r="AO21" i="25"/>
  <c r="AC21" i="25"/>
  <c r="AQ39" i="25"/>
  <c r="AR39" i="25"/>
  <c r="AS39" i="25" s="1"/>
  <c r="AU39" i="25" s="1"/>
  <c r="AP39" i="25"/>
  <c r="BS17" i="24"/>
  <c r="BT17" i="24" s="1"/>
  <c r="BU17" i="24" s="1"/>
  <c r="BV17" i="24" s="1"/>
  <c r="H17" i="24" s="1"/>
  <c r="AD37" i="24"/>
  <c r="O37" i="24"/>
  <c r="AO37" i="24"/>
  <c r="AC37" i="24"/>
  <c r="AN37" i="24"/>
  <c r="AO26" i="24"/>
  <c r="AD26" i="24"/>
  <c r="AN26" i="24"/>
  <c r="O26" i="24"/>
  <c r="AC26" i="24"/>
  <c r="AD18" i="24"/>
  <c r="AC18" i="24"/>
  <c r="AO18" i="24"/>
  <c r="O18" i="24"/>
  <c r="AN18" i="24"/>
  <c r="AD24" i="24"/>
  <c r="AO24" i="24"/>
  <c r="O24" i="24"/>
  <c r="AC24" i="24"/>
  <c r="AN24" i="24"/>
  <c r="AD20" i="24"/>
  <c r="O20" i="24"/>
  <c r="AO20" i="24"/>
  <c r="AC20" i="24"/>
  <c r="AN20" i="24"/>
  <c r="AD14" i="24"/>
  <c r="AN14" i="24"/>
  <c r="O14" i="24"/>
  <c r="AO14" i="24"/>
  <c r="AC14" i="24"/>
  <c r="O23" i="24"/>
  <c r="AO23" i="24"/>
  <c r="AD23" i="24"/>
  <c r="AN23" i="24"/>
  <c r="AC23" i="24"/>
  <c r="AO27" i="24"/>
  <c r="O27" i="24"/>
  <c r="AN27" i="24"/>
  <c r="AD27" i="24"/>
  <c r="AC27" i="24"/>
  <c r="AD36" i="24"/>
  <c r="AN36" i="24"/>
  <c r="AR35" i="24" s="1"/>
  <c r="AS35" i="24" s="1"/>
  <c r="AU35" i="24" s="1"/>
  <c r="AO36" i="24"/>
  <c r="AP35" i="24" s="1"/>
  <c r="O36" i="24"/>
  <c r="AC36" i="24"/>
  <c r="AF35" i="24" s="1"/>
  <c r="O29" i="24"/>
  <c r="AO29" i="24"/>
  <c r="AD29" i="24"/>
  <c r="AC29" i="24"/>
  <c r="AN29" i="24"/>
  <c r="AD21" i="24"/>
  <c r="AO21" i="24"/>
  <c r="AN21" i="24"/>
  <c r="O21" i="24"/>
  <c r="AC21" i="24"/>
  <c r="O19" i="24"/>
  <c r="AO19" i="24"/>
  <c r="AD19" i="24"/>
  <c r="AN19" i="24"/>
  <c r="AC19" i="24"/>
  <c r="AD34" i="24"/>
  <c r="AE32" i="24" s="1"/>
  <c r="AN34" i="24"/>
  <c r="AR32" i="24" s="1"/>
  <c r="AS32" i="24" s="1"/>
  <c r="AU32" i="24" s="1"/>
  <c r="O34" i="24"/>
  <c r="AO34" i="24"/>
  <c r="AP32" i="24" s="1"/>
  <c r="AC34" i="24"/>
  <c r="AF32" i="24" s="1"/>
  <c r="AO31" i="24"/>
  <c r="O31" i="24"/>
  <c r="AD31" i="24"/>
  <c r="AN31" i="24"/>
  <c r="AC31" i="24"/>
  <c r="AG35" i="24"/>
  <c r="AH35" i="24" s="1"/>
  <c r="AJ35" i="24" s="1"/>
  <c r="AR13" i="24"/>
  <c r="AG13" i="24"/>
  <c r="AD28" i="24"/>
  <c r="AO28" i="24"/>
  <c r="O28" i="24"/>
  <c r="AN28" i="24"/>
  <c r="AC28" i="24"/>
  <c r="AO25" i="24"/>
  <c r="O25" i="24"/>
  <c r="AN25" i="24"/>
  <c r="AD25" i="24"/>
  <c r="AC25" i="24"/>
  <c r="AE35" i="24"/>
  <c r="BS30" i="24"/>
  <c r="BT30" i="24" s="1"/>
  <c r="BU30" i="24" s="1"/>
  <c r="BV30" i="24" s="1"/>
  <c r="H30" i="24" s="1"/>
  <c r="O38" i="24"/>
  <c r="AD38" i="24"/>
  <c r="AO38" i="24"/>
  <c r="AC38" i="24"/>
  <c r="AN38" i="24"/>
  <c r="AD14" i="23"/>
  <c r="O14" i="23"/>
  <c r="AO14" i="23"/>
  <c r="AN14" i="23"/>
  <c r="AC14" i="23"/>
  <c r="AD31" i="23"/>
  <c r="AE27" i="23" s="1"/>
  <c r="AO31" i="23"/>
  <c r="AP27" i="23" s="1"/>
  <c r="O31" i="23"/>
  <c r="AN31" i="23"/>
  <c r="AC31" i="23"/>
  <c r="AF27" i="23" s="1"/>
  <c r="O43" i="23"/>
  <c r="AO43" i="23"/>
  <c r="AN43" i="23"/>
  <c r="AD43" i="23"/>
  <c r="AC43" i="23"/>
  <c r="AO45" i="23"/>
  <c r="O45" i="23"/>
  <c r="AC45" i="23"/>
  <c r="AD45" i="23"/>
  <c r="AN45" i="23"/>
  <c r="O24" i="23"/>
  <c r="AN24" i="23"/>
  <c r="AO24" i="23"/>
  <c r="AP24" i="23" s="1"/>
  <c r="AD24" i="23"/>
  <c r="AE24" i="23" s="1"/>
  <c r="AC24" i="23"/>
  <c r="AE19" i="23"/>
  <c r="AD32" i="23"/>
  <c r="O32" i="23"/>
  <c r="AO32" i="23"/>
  <c r="AP32" i="23" s="1"/>
  <c r="AC32" i="23"/>
  <c r="AN32" i="23"/>
  <c r="AQ27" i="23"/>
  <c r="AR27" i="23"/>
  <c r="AS27" i="23" s="1"/>
  <c r="AU27" i="23" s="1"/>
  <c r="O13" i="23"/>
  <c r="AD13" i="23"/>
  <c r="AC13" i="23"/>
  <c r="AD33" i="23"/>
  <c r="AO33" i="23"/>
  <c r="O33" i="23"/>
  <c r="AC33" i="23"/>
  <c r="AN33" i="23"/>
  <c r="AD20" i="23"/>
  <c r="AO20" i="23"/>
  <c r="AP19" i="23" s="1"/>
  <c r="O20" i="23"/>
  <c r="AC20" i="23"/>
  <c r="AF19" i="23" s="1"/>
  <c r="AN20" i="23"/>
  <c r="AQ19" i="23" s="1"/>
  <c r="O54" i="23"/>
  <c r="AD54" i="23"/>
  <c r="AO54" i="23"/>
  <c r="AN54" i="23"/>
  <c r="AD18" i="23"/>
  <c r="AN18" i="23"/>
  <c r="AO18" i="23"/>
  <c r="O18" i="23"/>
  <c r="AC18" i="23"/>
  <c r="AO40" i="23"/>
  <c r="AD40" i="23"/>
  <c r="O40" i="23"/>
  <c r="AN40" i="23"/>
  <c r="AC40" i="23"/>
  <c r="AO35" i="23"/>
  <c r="AP35" i="23" s="1"/>
  <c r="AD35" i="23"/>
  <c r="AE35" i="23" s="1"/>
  <c r="O35" i="23"/>
  <c r="AN35" i="23"/>
  <c r="AC35" i="23"/>
  <c r="AO21" i="23"/>
  <c r="O21" i="23"/>
  <c r="AD21" i="23"/>
  <c r="AC21" i="23"/>
  <c r="AG19" i="23" s="1"/>
  <c r="AH19" i="23" s="1"/>
  <c r="AJ19" i="23" s="1"/>
  <c r="AN21" i="23"/>
  <c r="AG46" i="23"/>
  <c r="AH46" i="23" s="1"/>
  <c r="AJ46" i="23" s="1"/>
  <c r="AD44" i="23"/>
  <c r="AO44" i="23"/>
  <c r="O44" i="23"/>
  <c r="AN44" i="23"/>
  <c r="AC44" i="23"/>
  <c r="AR46" i="23"/>
  <c r="AS46" i="23" s="1"/>
  <c r="AU46" i="23" s="1"/>
  <c r="AQ46" i="23"/>
  <c r="AD23" i="23"/>
  <c r="AO23" i="23"/>
  <c r="O23" i="23"/>
  <c r="AN23" i="23"/>
  <c r="AC23" i="23"/>
  <c r="AE46" i="23"/>
  <c r="AD15" i="23"/>
  <c r="O15" i="23"/>
  <c r="AO15" i="23"/>
  <c r="AC15" i="23"/>
  <c r="AN15" i="23"/>
  <c r="BS42" i="23"/>
  <c r="BT42" i="23" s="1"/>
  <c r="BU42" i="23" s="1"/>
  <c r="BV42" i="23" s="1"/>
  <c r="H42" i="23" s="1"/>
  <c r="AD35" i="22"/>
  <c r="AO35" i="22"/>
  <c r="O35" i="22"/>
  <c r="AC35" i="22"/>
  <c r="AN35" i="22"/>
  <c r="AD30" i="22"/>
  <c r="AO30" i="22"/>
  <c r="O30" i="22"/>
  <c r="AN30" i="22"/>
  <c r="AC30" i="22"/>
  <c r="AG28" i="22" s="1"/>
  <c r="AH28" i="22" s="1"/>
  <c r="AJ28" i="22" s="1"/>
  <c r="AD24" i="22"/>
  <c r="AE22" i="22" s="1"/>
  <c r="AO24" i="22"/>
  <c r="O24" i="22"/>
  <c r="AN24" i="22"/>
  <c r="AC24" i="22"/>
  <c r="O34" i="22"/>
  <c r="AO34" i="22"/>
  <c r="AP34" i="22" s="1"/>
  <c r="AD34" i="22"/>
  <c r="AE34" i="22" s="1"/>
  <c r="AN34" i="22"/>
  <c r="AC34" i="22"/>
  <c r="AO29" i="22"/>
  <c r="AP28" i="22" s="1"/>
  <c r="O29" i="22"/>
  <c r="AC29" i="22"/>
  <c r="AD29" i="22"/>
  <c r="AN29" i="22"/>
  <c r="AQ28" i="22" s="1"/>
  <c r="BS13" i="22"/>
  <c r="BT13" i="22" s="1"/>
  <c r="BU13" i="22" s="1"/>
  <c r="BV13" i="22" s="1"/>
  <c r="H13" i="22" s="1"/>
  <c r="AF22" i="22"/>
  <c r="AG22" i="22"/>
  <c r="AH22" i="22" s="1"/>
  <c r="AJ22" i="22" s="1"/>
  <c r="AE28" i="22"/>
  <c r="AD20" i="22"/>
  <c r="AE19" i="22" s="1"/>
  <c r="AO20" i="22"/>
  <c r="AP19" i="22" s="1"/>
  <c r="O20" i="22"/>
  <c r="O48" i="22" s="1"/>
  <c r="AN20" i="22"/>
  <c r="AC20" i="22"/>
  <c r="AQ22" i="22"/>
  <c r="AR22" i="22"/>
  <c r="AS22" i="22" s="1"/>
  <c r="AU22" i="22" s="1"/>
  <c r="AP31" i="22"/>
  <c r="AO27" i="22"/>
  <c r="O27" i="22"/>
  <c r="AC27" i="22"/>
  <c r="AF25" i="22" s="1"/>
  <c r="AD27" i="22"/>
  <c r="AE25" i="22" s="1"/>
  <c r="AN27" i="22"/>
  <c r="AQ25" i="22" s="1"/>
  <c r="AE31" i="22"/>
  <c r="O38" i="22"/>
  <c r="AD38" i="22"/>
  <c r="AO38" i="22"/>
  <c r="AN38" i="22"/>
  <c r="AC38" i="22"/>
  <c r="AD32" i="22"/>
  <c r="AO32" i="22"/>
  <c r="O32" i="22"/>
  <c r="AN32" i="22"/>
  <c r="AR31" i="22" s="1"/>
  <c r="AS31" i="22" s="1"/>
  <c r="AU31" i="22" s="1"/>
  <c r="AC32" i="22"/>
  <c r="AP25" i="22"/>
  <c r="AD18" i="22"/>
  <c r="AO18" i="22"/>
  <c r="O18" i="22"/>
  <c r="AN18" i="22"/>
  <c r="AR16" i="22" s="1"/>
  <c r="AC18" i="22"/>
  <c r="AG16" i="22" s="1"/>
  <c r="AD33" i="22"/>
  <c r="AO33" i="22"/>
  <c r="O33" i="22"/>
  <c r="AN33" i="22"/>
  <c r="AQ31" i="22" s="1"/>
  <c r="AC33" i="22"/>
  <c r="AD37" i="22"/>
  <c r="O37" i="22"/>
  <c r="AN37" i="22"/>
  <c r="AO37" i="22"/>
  <c r="AP37" i="22" s="1"/>
  <c r="AC37" i="22"/>
  <c r="AR25" i="22"/>
  <c r="AS25" i="22" s="1"/>
  <c r="AU25" i="22" s="1"/>
  <c r="AP22" i="22"/>
  <c r="F2" i="20"/>
  <c r="D6" i="20" s="1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07" i="20"/>
  <c r="C108" i="20"/>
  <c r="C109" i="20"/>
  <c r="C110" i="20"/>
  <c r="C111" i="20"/>
  <c r="C112" i="20"/>
  <c r="C113" i="20"/>
  <c r="C114" i="20"/>
  <c r="C115" i="20"/>
  <c r="C116" i="20"/>
  <c r="C117" i="20"/>
  <c r="C118" i="20"/>
  <c r="C119" i="20"/>
  <c r="C120" i="20"/>
  <c r="C121" i="20"/>
  <c r="C122" i="20"/>
  <c r="C123" i="20"/>
  <c r="C124" i="20"/>
  <c r="C125" i="20"/>
  <c r="C126" i="20"/>
  <c r="C127" i="20"/>
  <c r="C128" i="20"/>
  <c r="C129" i="20"/>
  <c r="C130" i="20"/>
  <c r="C131" i="20"/>
  <c r="C132" i="20"/>
  <c r="C133" i="20"/>
  <c r="C134" i="20"/>
  <c r="C135" i="20"/>
  <c r="C136" i="20"/>
  <c r="C137" i="20"/>
  <c r="C138" i="20"/>
  <c r="C139" i="20"/>
  <c r="C140" i="20"/>
  <c r="C141" i="20"/>
  <c r="C142" i="20"/>
  <c r="C143" i="20"/>
  <c r="C144" i="20"/>
  <c r="C145" i="20"/>
  <c r="C146" i="20"/>
  <c r="C147" i="20"/>
  <c r="C148" i="20"/>
  <c r="C149" i="20"/>
  <c r="C150" i="20"/>
  <c r="B151" i="20"/>
  <c r="C151" i="20"/>
  <c r="C152" i="20"/>
  <c r="C153" i="20"/>
  <c r="C154" i="20"/>
  <c r="C155" i="20"/>
  <c r="C156" i="20"/>
  <c r="C157" i="20"/>
  <c r="C158" i="20"/>
  <c r="C159" i="20"/>
  <c r="C160" i="20"/>
  <c r="C161" i="20"/>
  <c r="C162" i="20"/>
  <c r="C163" i="20"/>
  <c r="C164" i="20"/>
  <c r="C165" i="20"/>
  <c r="C166" i="20"/>
  <c r="C167" i="20"/>
  <c r="C168" i="20"/>
  <c r="C169" i="20"/>
  <c r="C170" i="20"/>
  <c r="C171" i="20"/>
  <c r="C172" i="20"/>
  <c r="C173" i="20"/>
  <c r="C174" i="20"/>
  <c r="C175" i="20"/>
  <c r="C176" i="20"/>
  <c r="C177" i="20"/>
  <c r="C178" i="20"/>
  <c r="C179" i="20"/>
  <c r="C180" i="20"/>
  <c r="C181" i="20"/>
  <c r="C182" i="20"/>
  <c r="C183" i="20"/>
  <c r="C184" i="20"/>
  <c r="C185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203" i="20"/>
  <c r="C204" i="20"/>
  <c r="C205" i="20"/>
  <c r="C206" i="20"/>
  <c r="C207" i="20"/>
  <c r="C208" i="20"/>
  <c r="C209" i="20"/>
  <c r="C210" i="20"/>
  <c r="C211" i="20"/>
  <c r="C212" i="20"/>
  <c r="C213" i="20"/>
  <c r="C214" i="20"/>
  <c r="C215" i="20"/>
  <c r="C216" i="20"/>
  <c r="C217" i="20"/>
  <c r="C218" i="20"/>
  <c r="C219" i="20"/>
  <c r="C220" i="20"/>
  <c r="C221" i="20"/>
  <c r="C222" i="20"/>
  <c r="C223" i="20"/>
  <c r="C224" i="20"/>
  <c r="C225" i="20"/>
  <c r="C226" i="20"/>
  <c r="C227" i="20"/>
  <c r="C228" i="20"/>
  <c r="C229" i="20"/>
  <c r="C230" i="20"/>
  <c r="C231" i="20"/>
  <c r="C232" i="20"/>
  <c r="C233" i="20"/>
  <c r="C234" i="20"/>
  <c r="C235" i="20"/>
  <c r="C236" i="20"/>
  <c r="C237" i="20"/>
  <c r="C238" i="20"/>
  <c r="C239" i="20"/>
  <c r="C240" i="20"/>
  <c r="C241" i="20"/>
  <c r="C242" i="20"/>
  <c r="C243" i="20"/>
  <c r="C244" i="20"/>
  <c r="C245" i="20"/>
  <c r="C246" i="20"/>
  <c r="C247" i="20"/>
  <c r="C248" i="20"/>
  <c r="C249" i="20"/>
  <c r="C250" i="20"/>
  <c r="C251" i="20"/>
  <c r="C252" i="20"/>
  <c r="C253" i="20"/>
  <c r="C254" i="20"/>
  <c r="C255" i="20"/>
  <c r="C256" i="20"/>
  <c r="C257" i="20"/>
  <c r="C258" i="20"/>
  <c r="C259" i="20"/>
  <c r="C260" i="20"/>
  <c r="C261" i="20"/>
  <c r="C262" i="20"/>
  <c r="C263" i="20"/>
  <c r="C264" i="20"/>
  <c r="C265" i="20"/>
  <c r="C266" i="20"/>
  <c r="C267" i="20"/>
  <c r="C268" i="20"/>
  <c r="C269" i="20"/>
  <c r="C270" i="20"/>
  <c r="C271" i="20"/>
  <c r="C272" i="20"/>
  <c r="C273" i="20"/>
  <c r="C274" i="20"/>
  <c r="C275" i="20"/>
  <c r="C276" i="20"/>
  <c r="C277" i="20"/>
  <c r="C278" i="20"/>
  <c r="C279" i="20"/>
  <c r="C280" i="20"/>
  <c r="C281" i="20"/>
  <c r="C282" i="20"/>
  <c r="C283" i="20"/>
  <c r="C284" i="20"/>
  <c r="C285" i="20"/>
  <c r="C286" i="20"/>
  <c r="C287" i="20"/>
  <c r="C288" i="20"/>
  <c r="C289" i="20"/>
  <c r="C290" i="20"/>
  <c r="C291" i="20"/>
  <c r="C292" i="20"/>
  <c r="C293" i="20"/>
  <c r="C294" i="20"/>
  <c r="C295" i="20"/>
  <c r="C296" i="20"/>
  <c r="C297" i="20"/>
  <c r="C298" i="20"/>
  <c r="C299" i="20"/>
  <c r="C300" i="20"/>
  <c r="C301" i="20"/>
  <c r="C302" i="20"/>
  <c r="C303" i="20"/>
  <c r="C304" i="20"/>
  <c r="C305" i="20"/>
  <c r="C306" i="20"/>
  <c r="C307" i="20"/>
  <c r="C308" i="20"/>
  <c r="C309" i="20"/>
  <c r="C310" i="20"/>
  <c r="C311" i="20"/>
  <c r="C312" i="20"/>
  <c r="C313" i="20"/>
  <c r="C314" i="20"/>
  <c r="C315" i="20"/>
  <c r="C316" i="20"/>
  <c r="C317" i="20"/>
  <c r="C318" i="20"/>
  <c r="C319" i="20"/>
  <c r="C320" i="20"/>
  <c r="C321" i="20"/>
  <c r="C322" i="20"/>
  <c r="C323" i="20"/>
  <c r="C324" i="20"/>
  <c r="C325" i="20"/>
  <c r="C326" i="20"/>
  <c r="C327" i="20"/>
  <c r="C328" i="20"/>
  <c r="C329" i="20"/>
  <c r="C330" i="20"/>
  <c r="C331" i="20"/>
  <c r="C332" i="20"/>
  <c r="C333" i="20"/>
  <c r="C334" i="20"/>
  <c r="C335" i="20"/>
  <c r="C336" i="20"/>
  <c r="C337" i="20"/>
  <c r="C338" i="20"/>
  <c r="C339" i="20"/>
  <c r="C340" i="20"/>
  <c r="C341" i="20"/>
  <c r="C342" i="20"/>
  <c r="C343" i="20"/>
  <c r="C344" i="20"/>
  <c r="C345" i="20"/>
  <c r="C346" i="20"/>
  <c r="C347" i="20"/>
  <c r="C348" i="20"/>
  <c r="C349" i="20"/>
  <c r="C350" i="20"/>
  <c r="C351" i="20"/>
  <c r="C352" i="20"/>
  <c r="C353" i="20"/>
  <c r="C354" i="20"/>
  <c r="C355" i="20"/>
  <c r="C356" i="20"/>
  <c r="C357" i="20"/>
  <c r="C358" i="20"/>
  <c r="AU16" i="13"/>
  <c r="AU17" i="13"/>
  <c r="AZ17" i="13" s="1"/>
  <c r="BA17" i="13" s="1"/>
  <c r="AU18" i="13"/>
  <c r="AZ18" i="13" s="1"/>
  <c r="BA18" i="13" s="1"/>
  <c r="AU19" i="13"/>
  <c r="AZ19" i="13" s="1"/>
  <c r="BA19" i="13" s="1"/>
  <c r="AU20" i="13"/>
  <c r="AZ20" i="13" s="1"/>
  <c r="BA20" i="13" s="1"/>
  <c r="AU21" i="13"/>
  <c r="CA42" i="13"/>
  <c r="CF42" i="13" s="1"/>
  <c r="CG42" i="13" s="1"/>
  <c r="CA43" i="13"/>
  <c r="CA44" i="13"/>
  <c r="CA45" i="13"/>
  <c r="CA46" i="13"/>
  <c r="CA47" i="13"/>
  <c r="CA48" i="13"/>
  <c r="CA49" i="13"/>
  <c r="CA50" i="13"/>
  <c r="CA51" i="13"/>
  <c r="CA52" i="13"/>
  <c r="CA53" i="13"/>
  <c r="CA54" i="13"/>
  <c r="CA55" i="13"/>
  <c r="CA56" i="13"/>
  <c r="CA57" i="13"/>
  <c r="CA41" i="13"/>
  <c r="CA40" i="13"/>
  <c r="CA15" i="13"/>
  <c r="CA16" i="13"/>
  <c r="CA17" i="13"/>
  <c r="CA18" i="13"/>
  <c r="CA19" i="13"/>
  <c r="CA20" i="13"/>
  <c r="CA21" i="13"/>
  <c r="CA22" i="13"/>
  <c r="CA23" i="13"/>
  <c r="CA24" i="13"/>
  <c r="CA25" i="13"/>
  <c r="CA26" i="13"/>
  <c r="CA27" i="13"/>
  <c r="CA28" i="13"/>
  <c r="CA29" i="13"/>
  <c r="CA30" i="13"/>
  <c r="CA14" i="13"/>
  <c r="CA13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40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13" i="13"/>
  <c r="AW21" i="13" l="1"/>
  <c r="AZ21" i="13" s="1"/>
  <c r="BA21" i="13" s="1"/>
  <c r="D30" i="20"/>
  <c r="E30" i="20" s="1"/>
  <c r="F30" i="20" s="1"/>
  <c r="D119" i="20"/>
  <c r="D97" i="20"/>
  <c r="E119" i="20"/>
  <c r="F119" i="20" s="1"/>
  <c r="D102" i="20"/>
  <c r="E102" i="20" s="1"/>
  <c r="F102" i="20" s="1"/>
  <c r="E98" i="20"/>
  <c r="F98" i="20" s="1"/>
  <c r="D60" i="20"/>
  <c r="E60" i="20" s="1"/>
  <c r="F60" i="20" s="1"/>
  <c r="D43" i="20"/>
  <c r="E43" i="20" s="1"/>
  <c r="F43" i="20" s="1"/>
  <c r="D11" i="20"/>
  <c r="E11" i="20" s="1"/>
  <c r="F11" i="20" s="1"/>
  <c r="D39" i="20"/>
  <c r="E39" i="20" s="1"/>
  <c r="F39" i="20" s="1"/>
  <c r="D145" i="20"/>
  <c r="E145" i="20" s="1"/>
  <c r="F145" i="20" s="1"/>
  <c r="D133" i="20"/>
  <c r="D129" i="20"/>
  <c r="E129" i="20" s="1"/>
  <c r="F129" i="20" s="1"/>
  <c r="D115" i="20"/>
  <c r="D98" i="20"/>
  <c r="D85" i="20"/>
  <c r="E85" i="20" s="1"/>
  <c r="F85" i="20" s="1"/>
  <c r="D73" i="20"/>
  <c r="E73" i="20" s="1"/>
  <c r="F73" i="20" s="1"/>
  <c r="D61" i="20"/>
  <c r="E61" i="20" s="1"/>
  <c r="F61" i="20" s="1"/>
  <c r="D48" i="20"/>
  <c r="E48" i="20" s="1"/>
  <c r="F48" i="20" s="1"/>
  <c r="D44" i="20"/>
  <c r="E44" i="20" s="1"/>
  <c r="F44" i="20" s="1"/>
  <c r="D26" i="20"/>
  <c r="E26" i="20" s="1"/>
  <c r="F26" i="20" s="1"/>
  <c r="D149" i="20"/>
  <c r="E149" i="20" s="1"/>
  <c r="F149" i="20" s="1"/>
  <c r="D141" i="20"/>
  <c r="E141" i="20" s="1"/>
  <c r="F141" i="20" s="1"/>
  <c r="D137" i="20"/>
  <c r="E137" i="20" s="1"/>
  <c r="F137" i="20" s="1"/>
  <c r="E133" i="20"/>
  <c r="F133" i="20" s="1"/>
  <c r="D124" i="20"/>
  <c r="E124" i="20" s="1"/>
  <c r="F124" i="20" s="1"/>
  <c r="E115" i="20"/>
  <c r="F115" i="20" s="1"/>
  <c r="D111" i="20"/>
  <c r="E111" i="20" s="1"/>
  <c r="F111" i="20" s="1"/>
  <c r="D107" i="20"/>
  <c r="E107" i="20" s="1"/>
  <c r="F107" i="20" s="1"/>
  <c r="D93" i="20"/>
  <c r="E93" i="20" s="1"/>
  <c r="F93" i="20" s="1"/>
  <c r="D89" i="20"/>
  <c r="E89" i="20" s="1"/>
  <c r="F89" i="20" s="1"/>
  <c r="D81" i="20"/>
  <c r="E81" i="20" s="1"/>
  <c r="F81" i="20" s="1"/>
  <c r="D77" i="20"/>
  <c r="E77" i="20" s="1"/>
  <c r="F77" i="20" s="1"/>
  <c r="D69" i="20"/>
  <c r="E69" i="20" s="1"/>
  <c r="F69" i="20" s="1"/>
  <c r="D65" i="20"/>
  <c r="E65" i="20" s="1"/>
  <c r="F65" i="20" s="1"/>
  <c r="D35" i="20"/>
  <c r="E35" i="20" s="1"/>
  <c r="F35" i="20" s="1"/>
  <c r="D21" i="20"/>
  <c r="E21" i="20" s="1"/>
  <c r="F21" i="20" s="1"/>
  <c r="D16" i="20"/>
  <c r="E16" i="20" s="1"/>
  <c r="F16" i="20" s="1"/>
  <c r="D56" i="20"/>
  <c r="E56" i="20" s="1"/>
  <c r="F56" i="20" s="1"/>
  <c r="D25" i="20"/>
  <c r="E25" i="20" s="1"/>
  <c r="F25" i="20" s="1"/>
  <c r="D144" i="20"/>
  <c r="E144" i="20" s="1"/>
  <c r="F144" i="20" s="1"/>
  <c r="D59" i="20"/>
  <c r="E59" i="20" s="1"/>
  <c r="F59" i="20" s="1"/>
  <c r="D139" i="20"/>
  <c r="E139" i="20" s="1"/>
  <c r="F139" i="20" s="1"/>
  <c r="D131" i="20"/>
  <c r="E131" i="20" s="1"/>
  <c r="F131" i="20" s="1"/>
  <c r="D122" i="20"/>
  <c r="E122" i="20" s="1"/>
  <c r="F122" i="20" s="1"/>
  <c r="D109" i="20"/>
  <c r="E109" i="20" s="1"/>
  <c r="F109" i="20" s="1"/>
  <c r="D105" i="20"/>
  <c r="E105" i="20" s="1"/>
  <c r="F105" i="20" s="1"/>
  <c r="D96" i="20"/>
  <c r="E96" i="20" s="1"/>
  <c r="F96" i="20" s="1"/>
  <c r="D91" i="20"/>
  <c r="E91" i="20" s="1"/>
  <c r="F91" i="20" s="1"/>
  <c r="D79" i="20"/>
  <c r="E79" i="20" s="1"/>
  <c r="F79" i="20" s="1"/>
  <c r="D67" i="20"/>
  <c r="E67" i="20" s="1"/>
  <c r="F67" i="20" s="1"/>
  <c r="D54" i="20"/>
  <c r="E54" i="20" s="1"/>
  <c r="F54" i="20" s="1"/>
  <c r="D50" i="20"/>
  <c r="E50" i="20" s="1"/>
  <c r="F50" i="20" s="1"/>
  <c r="D42" i="20"/>
  <c r="E42" i="20" s="1"/>
  <c r="F42" i="20" s="1"/>
  <c r="D38" i="20"/>
  <c r="E38" i="20" s="1"/>
  <c r="F38" i="20" s="1"/>
  <c r="D33" i="20"/>
  <c r="E33" i="20" s="1"/>
  <c r="F33" i="20" s="1"/>
  <c r="D19" i="20"/>
  <c r="E19" i="20" s="1"/>
  <c r="F19" i="20" s="1"/>
  <c r="D9" i="20"/>
  <c r="E9" i="20" s="1"/>
  <c r="F9" i="20" s="1"/>
  <c r="D88" i="20"/>
  <c r="E88" i="20" s="1"/>
  <c r="F88" i="20" s="1"/>
  <c r="D84" i="20"/>
  <c r="E84" i="20" s="1"/>
  <c r="F84" i="20" s="1"/>
  <c r="D20" i="20"/>
  <c r="E20" i="20" s="1"/>
  <c r="F20" i="20" s="1"/>
  <c r="D29" i="20"/>
  <c r="E29" i="20" s="1"/>
  <c r="F29" i="20" s="1"/>
  <c r="D147" i="20"/>
  <c r="E147" i="20" s="1"/>
  <c r="F147" i="20" s="1"/>
  <c r="D143" i="20"/>
  <c r="E143" i="20" s="1"/>
  <c r="F143" i="20" s="1"/>
  <c r="D135" i="20"/>
  <c r="E135" i="20" s="1"/>
  <c r="F135" i="20" s="1"/>
  <c r="D117" i="20"/>
  <c r="E117" i="20" s="1"/>
  <c r="F117" i="20" s="1"/>
  <c r="D113" i="20"/>
  <c r="E113" i="20" s="1"/>
  <c r="F113" i="20" s="1"/>
  <c r="D100" i="20"/>
  <c r="E100" i="20" s="1"/>
  <c r="F100" i="20" s="1"/>
  <c r="D87" i="20"/>
  <c r="E87" i="20" s="1"/>
  <c r="F87" i="20" s="1"/>
  <c r="D83" i="20"/>
  <c r="E83" i="20" s="1"/>
  <c r="F83" i="20" s="1"/>
  <c r="D75" i="20"/>
  <c r="E75" i="20" s="1"/>
  <c r="F75" i="20" s="1"/>
  <c r="D71" i="20"/>
  <c r="E71" i="20" s="1"/>
  <c r="F71" i="20" s="1"/>
  <c r="D63" i="20"/>
  <c r="E63" i="20" s="1"/>
  <c r="F63" i="20" s="1"/>
  <c r="D58" i="20"/>
  <c r="E58" i="20" s="1"/>
  <c r="F58" i="20" s="1"/>
  <c r="D28" i="20"/>
  <c r="E28" i="20" s="1"/>
  <c r="F28" i="20" s="1"/>
  <c r="D14" i="20"/>
  <c r="E14" i="20" s="1"/>
  <c r="F14" i="20" s="1"/>
  <c r="D128" i="20"/>
  <c r="E128" i="20" s="1"/>
  <c r="F128" i="20" s="1"/>
  <c r="D51" i="20"/>
  <c r="E51" i="20" s="1"/>
  <c r="F51" i="20" s="1"/>
  <c r="D114" i="20"/>
  <c r="E114" i="20" s="1"/>
  <c r="F114" i="20" s="1"/>
  <c r="D80" i="20"/>
  <c r="E80" i="20" s="1"/>
  <c r="F80" i="20" s="1"/>
  <c r="D55" i="20"/>
  <c r="E55" i="20" s="1"/>
  <c r="F55" i="20" s="1"/>
  <c r="D130" i="20"/>
  <c r="E130" i="20" s="1"/>
  <c r="F130" i="20" s="1"/>
  <c r="D126" i="20"/>
  <c r="E126" i="20" s="1"/>
  <c r="F126" i="20" s="1"/>
  <c r="D121" i="20"/>
  <c r="E121" i="20" s="1"/>
  <c r="F121" i="20" s="1"/>
  <c r="D49" i="20"/>
  <c r="D37" i="20"/>
  <c r="E37" i="20" s="1"/>
  <c r="F37" i="20" s="1"/>
  <c r="D23" i="20"/>
  <c r="E23" i="20" s="1"/>
  <c r="F23" i="20" s="1"/>
  <c r="D18" i="20"/>
  <c r="E18" i="20" s="1"/>
  <c r="F18" i="20" s="1"/>
  <c r="D136" i="20"/>
  <c r="E136" i="20" s="1"/>
  <c r="F136" i="20" s="1"/>
  <c r="D106" i="20"/>
  <c r="E106" i="20" s="1"/>
  <c r="F106" i="20" s="1"/>
  <c r="D110" i="20"/>
  <c r="E110" i="20" s="1"/>
  <c r="F110" i="20" s="1"/>
  <c r="D92" i="20"/>
  <c r="E92" i="20" s="1"/>
  <c r="F92" i="20" s="1"/>
  <c r="D72" i="20"/>
  <c r="E72" i="20" s="1"/>
  <c r="F72" i="20" s="1"/>
  <c r="D10" i="20"/>
  <c r="D127" i="20"/>
  <c r="E127" i="20" s="1"/>
  <c r="F127" i="20" s="1"/>
  <c r="D101" i="20"/>
  <c r="E101" i="20" s="1"/>
  <c r="F101" i="20" s="1"/>
  <c r="D46" i="20"/>
  <c r="E46" i="20" s="1"/>
  <c r="F46" i="20" s="1"/>
  <c r="E10" i="20"/>
  <c r="F10" i="20" s="1"/>
  <c r="D142" i="20"/>
  <c r="E142" i="20" s="1"/>
  <c r="F142" i="20" s="1"/>
  <c r="D112" i="20"/>
  <c r="E112" i="20" s="1"/>
  <c r="F112" i="20" s="1"/>
  <c r="D104" i="20"/>
  <c r="E104" i="20" s="1"/>
  <c r="F104" i="20" s="1"/>
  <c r="D99" i="20"/>
  <c r="E99" i="20" s="1"/>
  <c r="F99" i="20" s="1"/>
  <c r="D95" i="20"/>
  <c r="E95" i="20" s="1"/>
  <c r="F95" i="20" s="1"/>
  <c r="D82" i="20"/>
  <c r="E82" i="20" s="1"/>
  <c r="F82" i="20" s="1"/>
  <c r="D70" i="20"/>
  <c r="E70" i="20" s="1"/>
  <c r="F70" i="20" s="1"/>
  <c r="D53" i="20"/>
  <c r="E53" i="20" s="1"/>
  <c r="F53" i="20" s="1"/>
  <c r="E49" i="20"/>
  <c r="F49" i="20" s="1"/>
  <c r="D45" i="20"/>
  <c r="E45" i="20" s="1"/>
  <c r="F45" i="20" s="1"/>
  <c r="D41" i="20"/>
  <c r="E41" i="20" s="1"/>
  <c r="F41" i="20" s="1"/>
  <c r="D32" i="20"/>
  <c r="E32" i="20" s="1"/>
  <c r="F32" i="20" s="1"/>
  <c r="D27" i="20"/>
  <c r="E27" i="20" s="1"/>
  <c r="F27" i="20" s="1"/>
  <c r="D13" i="20"/>
  <c r="E13" i="20" s="1"/>
  <c r="F13" i="20" s="1"/>
  <c r="D8" i="20"/>
  <c r="E8" i="20" s="1"/>
  <c r="F8" i="20" s="1"/>
  <c r="D132" i="20"/>
  <c r="E132" i="20" s="1"/>
  <c r="F132" i="20" s="1"/>
  <c r="E97" i="20"/>
  <c r="F97" i="20" s="1"/>
  <c r="D76" i="20"/>
  <c r="E76" i="20" s="1"/>
  <c r="F76" i="20" s="1"/>
  <c r="D47" i="20"/>
  <c r="E47" i="20" s="1"/>
  <c r="F47" i="20" s="1"/>
  <c r="D140" i="20"/>
  <c r="E140" i="20" s="1"/>
  <c r="F140" i="20" s="1"/>
  <c r="D118" i="20"/>
  <c r="E118" i="20" s="1"/>
  <c r="F118" i="20" s="1"/>
  <c r="D68" i="20"/>
  <c r="E68" i="20" s="1"/>
  <c r="F68" i="20" s="1"/>
  <c r="D15" i="20"/>
  <c r="E15" i="20" s="1"/>
  <c r="F15" i="20" s="1"/>
  <c r="D24" i="20"/>
  <c r="E24" i="20" s="1"/>
  <c r="F24" i="20" s="1"/>
  <c r="D150" i="20"/>
  <c r="E150" i="20" s="1"/>
  <c r="F150" i="20" s="1"/>
  <c r="D146" i="20"/>
  <c r="E146" i="20" s="1"/>
  <c r="F146" i="20" s="1"/>
  <c r="D138" i="20"/>
  <c r="E138" i="20" s="1"/>
  <c r="F138" i="20" s="1"/>
  <c r="D134" i="20"/>
  <c r="E134" i="20" s="1"/>
  <c r="F134" i="20" s="1"/>
  <c r="D116" i="20"/>
  <c r="E116" i="20" s="1"/>
  <c r="F116" i="20" s="1"/>
  <c r="D108" i="20"/>
  <c r="E108" i="20" s="1"/>
  <c r="F108" i="20" s="1"/>
  <c r="D90" i="20"/>
  <c r="E90" i="20" s="1"/>
  <c r="F90" i="20" s="1"/>
  <c r="D86" i="20"/>
  <c r="E86" i="20" s="1"/>
  <c r="F86" i="20" s="1"/>
  <c r="D78" i="20"/>
  <c r="E78" i="20" s="1"/>
  <c r="F78" i="20" s="1"/>
  <c r="D74" i="20"/>
  <c r="E74" i="20" s="1"/>
  <c r="F74" i="20" s="1"/>
  <c r="D66" i="20"/>
  <c r="E66" i="20" s="1"/>
  <c r="F66" i="20" s="1"/>
  <c r="D62" i="20"/>
  <c r="E62" i="20" s="1"/>
  <c r="F62" i="20" s="1"/>
  <c r="D36" i="20"/>
  <c r="E36" i="20" s="1"/>
  <c r="F36" i="20" s="1"/>
  <c r="D22" i="20"/>
  <c r="D148" i="20"/>
  <c r="E148" i="20" s="1"/>
  <c r="F148" i="20" s="1"/>
  <c r="D123" i="20"/>
  <c r="E123" i="20" s="1"/>
  <c r="F123" i="20" s="1"/>
  <c r="D64" i="20"/>
  <c r="E64" i="20" s="1"/>
  <c r="F64" i="20" s="1"/>
  <c r="D34" i="20"/>
  <c r="E34" i="20" s="1"/>
  <c r="F34" i="20" s="1"/>
  <c r="D125" i="20"/>
  <c r="E125" i="20" s="1"/>
  <c r="F125" i="20" s="1"/>
  <c r="D120" i="20"/>
  <c r="E120" i="20" s="1"/>
  <c r="F120" i="20" s="1"/>
  <c r="D103" i="20"/>
  <c r="E103" i="20" s="1"/>
  <c r="F103" i="20" s="1"/>
  <c r="D94" i="20"/>
  <c r="E94" i="20" s="1"/>
  <c r="F94" i="20" s="1"/>
  <c r="D57" i="20"/>
  <c r="E57" i="20" s="1"/>
  <c r="F57" i="20" s="1"/>
  <c r="D52" i="20"/>
  <c r="E52" i="20" s="1"/>
  <c r="F52" i="20" s="1"/>
  <c r="D40" i="20"/>
  <c r="E40" i="20" s="1"/>
  <c r="F40" i="20" s="1"/>
  <c r="D31" i="20"/>
  <c r="E31" i="20" s="1"/>
  <c r="F31" i="20" s="1"/>
  <c r="E22" i="20"/>
  <c r="F22" i="20" s="1"/>
  <c r="D17" i="20"/>
  <c r="E17" i="20" s="1"/>
  <c r="F17" i="20" s="1"/>
  <c r="D12" i="20"/>
  <c r="E12" i="20" s="1"/>
  <c r="F12" i="20" s="1"/>
  <c r="D7" i="20"/>
  <c r="E7" i="20" s="1"/>
  <c r="F7" i="20" s="1"/>
  <c r="AQ42" i="25"/>
  <c r="AR42" i="25"/>
  <c r="AS42" i="25" s="1"/>
  <c r="AU42" i="25" s="1"/>
  <c r="AP25" i="25"/>
  <c r="AF42" i="25"/>
  <c r="AG42" i="25"/>
  <c r="AH42" i="25" s="1"/>
  <c r="AJ42" i="25" s="1"/>
  <c r="AD32" i="25"/>
  <c r="O32" i="25"/>
  <c r="AO32" i="25"/>
  <c r="AC32" i="25"/>
  <c r="AG30" i="25" s="1"/>
  <c r="AH30" i="25" s="1"/>
  <c r="AJ30" i="25" s="1"/>
  <c r="AN32" i="25"/>
  <c r="AR30" i="25" s="1"/>
  <c r="AS30" i="25" s="1"/>
  <c r="AU30" i="25" s="1"/>
  <c r="AE42" i="25"/>
  <c r="AD33" i="25"/>
  <c r="AE33" i="25" s="1"/>
  <c r="O33" i="25"/>
  <c r="AO33" i="25"/>
  <c r="AP33" i="25" s="1"/>
  <c r="AN33" i="25"/>
  <c r="AC33" i="25"/>
  <c r="AD20" i="25"/>
  <c r="AO20" i="25"/>
  <c r="O20" i="25"/>
  <c r="AN20" i="25"/>
  <c r="AC20" i="25"/>
  <c r="AP42" i="25"/>
  <c r="O13" i="25"/>
  <c r="AO13" i="25"/>
  <c r="AD13" i="25"/>
  <c r="AC13" i="25"/>
  <c r="AG13" i="25" s="1"/>
  <c r="AN13" i="25"/>
  <c r="AR13" i="25" s="1"/>
  <c r="AR16" i="25"/>
  <c r="AF30" i="25"/>
  <c r="AQ36" i="25"/>
  <c r="AR36" i="25"/>
  <c r="AS36" i="25" s="1"/>
  <c r="AU36" i="25" s="1"/>
  <c r="AF22" i="25"/>
  <c r="AG22" i="25"/>
  <c r="AH22" i="25" s="1"/>
  <c r="AJ22" i="25" s="1"/>
  <c r="AG16" i="25"/>
  <c r="AQ30" i="25"/>
  <c r="AF36" i="25"/>
  <c r="AG36" i="25"/>
  <c r="AH36" i="25" s="1"/>
  <c r="AJ36" i="25" s="1"/>
  <c r="AG25" i="25"/>
  <c r="AH25" i="25" s="1"/>
  <c r="AJ25" i="25" s="1"/>
  <c r="AF25" i="25"/>
  <c r="AQ25" i="25"/>
  <c r="AR25" i="25"/>
  <c r="AS25" i="25" s="1"/>
  <c r="AU25" i="25" s="1"/>
  <c r="AE36" i="25"/>
  <c r="AE30" i="25"/>
  <c r="AP36" i="25"/>
  <c r="AO19" i="25"/>
  <c r="AP19" i="25" s="1"/>
  <c r="AD19" i="25"/>
  <c r="AE19" i="25" s="1"/>
  <c r="O19" i="25"/>
  <c r="AN19" i="25"/>
  <c r="AC19" i="25"/>
  <c r="AQ22" i="25"/>
  <c r="AR22" i="25"/>
  <c r="AS22" i="25" s="1"/>
  <c r="AU22" i="25" s="1"/>
  <c r="AP30" i="25"/>
  <c r="AQ26" i="24"/>
  <c r="AR26" i="24"/>
  <c r="AS26" i="24" s="1"/>
  <c r="AU26" i="24" s="1"/>
  <c r="AE26" i="24"/>
  <c r="AP26" i="24"/>
  <c r="AG32" i="24"/>
  <c r="AH32" i="24" s="1"/>
  <c r="AJ32" i="24" s="1"/>
  <c r="AF29" i="24"/>
  <c r="AQ20" i="24"/>
  <c r="AR20" i="24"/>
  <c r="AS20" i="24" s="1"/>
  <c r="AU20" i="24" s="1"/>
  <c r="AE29" i="24"/>
  <c r="AG20" i="24"/>
  <c r="AH20" i="24" s="1"/>
  <c r="AJ20" i="24" s="1"/>
  <c r="AF20" i="24"/>
  <c r="AD30" i="24"/>
  <c r="AO30" i="24"/>
  <c r="AP29" i="24" s="1"/>
  <c r="O30" i="24"/>
  <c r="AN30" i="24"/>
  <c r="AR29" i="24" s="1"/>
  <c r="AS29" i="24" s="1"/>
  <c r="AU29" i="24" s="1"/>
  <c r="AC30" i="24"/>
  <c r="AG29" i="24" s="1"/>
  <c r="AH29" i="24" s="1"/>
  <c r="AJ29" i="24" s="1"/>
  <c r="AG23" i="24"/>
  <c r="AH23" i="24" s="1"/>
  <c r="AJ23" i="24" s="1"/>
  <c r="AF23" i="24"/>
  <c r="AP20" i="24"/>
  <c r="O46" i="24"/>
  <c r="AQ23" i="24"/>
  <c r="AR23" i="24"/>
  <c r="AS23" i="24" s="1"/>
  <c r="AU23" i="24" s="1"/>
  <c r="AQ32" i="24"/>
  <c r="AQ35" i="24"/>
  <c r="AE23" i="24"/>
  <c r="AE20" i="24"/>
  <c r="AD17" i="24"/>
  <c r="AO17" i="24"/>
  <c r="O17" i="24"/>
  <c r="AC17" i="24"/>
  <c r="AG16" i="24" s="1"/>
  <c r="AN17" i="24"/>
  <c r="AR16" i="24" s="1"/>
  <c r="AP23" i="24"/>
  <c r="AF26" i="24"/>
  <c r="AG26" i="24"/>
  <c r="AH26" i="24" s="1"/>
  <c r="AJ26" i="24" s="1"/>
  <c r="AF31" i="22"/>
  <c r="AE32" i="23"/>
  <c r="AR19" i="23"/>
  <c r="AS19" i="23" s="1"/>
  <c r="AU19" i="23" s="1"/>
  <c r="AF24" i="23"/>
  <c r="AG24" i="23"/>
  <c r="AH24" i="23" s="1"/>
  <c r="AJ24" i="23" s="1"/>
  <c r="AF43" i="23"/>
  <c r="AG43" i="23"/>
  <c r="AH43" i="23" s="1"/>
  <c r="AJ43" i="23" s="1"/>
  <c r="AQ35" i="23"/>
  <c r="AR35" i="23"/>
  <c r="AS35" i="23" s="1"/>
  <c r="AU35" i="23" s="1"/>
  <c r="AF28" i="22"/>
  <c r="AE43" i="23"/>
  <c r="AF14" i="23"/>
  <c r="AG14" i="23"/>
  <c r="AH14" i="23" s="1"/>
  <c r="AJ14" i="23" s="1"/>
  <c r="AG25" i="22"/>
  <c r="AH25" i="22" s="1"/>
  <c r="AJ25" i="22" s="1"/>
  <c r="AQ43" i="23"/>
  <c r="AR43" i="23"/>
  <c r="AS43" i="23" s="1"/>
  <c r="AU43" i="23" s="1"/>
  <c r="AQ14" i="23"/>
  <c r="AR14" i="23"/>
  <c r="AS14" i="23" s="1"/>
  <c r="AU14" i="23" s="1"/>
  <c r="AP40" i="23"/>
  <c r="AQ24" i="23"/>
  <c r="AR24" i="23"/>
  <c r="AS24" i="23" s="1"/>
  <c r="AU24" i="23" s="1"/>
  <c r="AP43" i="23"/>
  <c r="AP14" i="23"/>
  <c r="AD42" i="23"/>
  <c r="AE40" i="23" s="1"/>
  <c r="AO42" i="23"/>
  <c r="O42" i="23"/>
  <c r="AN42" i="23"/>
  <c r="AQ40" i="23" s="1"/>
  <c r="AC42" i="23"/>
  <c r="AF40" i="23" s="1"/>
  <c r="AQ32" i="23"/>
  <c r="AR32" i="23"/>
  <c r="AS32" i="23" s="1"/>
  <c r="AU32" i="23" s="1"/>
  <c r="AE14" i="23"/>
  <c r="AF35" i="23"/>
  <c r="AG35" i="23"/>
  <c r="AH35" i="23" s="1"/>
  <c r="AJ35" i="23" s="1"/>
  <c r="AF32" i="23"/>
  <c r="AG32" i="23"/>
  <c r="AH32" i="23" s="1"/>
  <c r="AJ32" i="23" s="1"/>
  <c r="AG27" i="23"/>
  <c r="AH27" i="23" s="1"/>
  <c r="AJ27" i="23" s="1"/>
  <c r="AQ37" i="22"/>
  <c r="AR37" i="22"/>
  <c r="AS37" i="22" s="1"/>
  <c r="AU37" i="22" s="1"/>
  <c r="O13" i="22"/>
  <c r="AO13" i="22"/>
  <c r="AC13" i="22"/>
  <c r="AG13" i="22" s="1"/>
  <c r="AD13" i="22"/>
  <c r="AN13" i="22"/>
  <c r="AR13" i="22" s="1"/>
  <c r="AE37" i="22"/>
  <c r="AG34" i="22"/>
  <c r="AH34" i="22" s="1"/>
  <c r="AJ34" i="22" s="1"/>
  <c r="AF34" i="22"/>
  <c r="AG19" i="22"/>
  <c r="AH19" i="22" s="1"/>
  <c r="AJ19" i="22" s="1"/>
  <c r="AF19" i="22"/>
  <c r="AG31" i="22"/>
  <c r="AH31" i="22" s="1"/>
  <c r="AJ31" i="22" s="1"/>
  <c r="AQ34" i="22"/>
  <c r="AR34" i="22"/>
  <c r="AS34" i="22" s="1"/>
  <c r="AU34" i="22" s="1"/>
  <c r="AQ19" i="22"/>
  <c r="AQ7" i="22" s="1"/>
  <c r="AR19" i="22"/>
  <c r="AS19" i="22" s="1"/>
  <c r="AU19" i="22" s="1"/>
  <c r="AR28" i="22"/>
  <c r="AS28" i="22" s="1"/>
  <c r="AU28" i="22" s="1"/>
  <c r="AF37" i="22"/>
  <c r="AG37" i="22"/>
  <c r="AH37" i="22" s="1"/>
  <c r="AJ37" i="22" s="1"/>
  <c r="D151" i="20"/>
  <c r="E151" i="20" s="1"/>
  <c r="F151" i="20" s="1"/>
  <c r="B152" i="20"/>
  <c r="E6" i="20"/>
  <c r="F6" i="20" s="1"/>
  <c r="AZ16" i="13"/>
  <c r="BA16" i="13" s="1"/>
  <c r="CF47" i="13"/>
  <c r="CG47" i="13" s="1"/>
  <c r="CF20" i="13"/>
  <c r="CG20" i="13" s="1"/>
  <c r="CF49" i="13"/>
  <c r="CG49" i="13" s="1"/>
  <c r="CF53" i="13"/>
  <c r="CG53" i="13" s="1"/>
  <c r="CF50" i="13"/>
  <c r="CG50" i="13" s="1"/>
  <c r="CF29" i="13"/>
  <c r="CG29" i="13" s="1"/>
  <c r="CF17" i="13"/>
  <c r="CG17" i="13" s="1"/>
  <c r="CF28" i="13"/>
  <c r="CG28" i="13" s="1"/>
  <c r="CF16" i="13"/>
  <c r="CG16" i="13" s="1"/>
  <c r="CF48" i="13"/>
  <c r="CG48" i="13" s="1"/>
  <c r="CF44" i="13"/>
  <c r="CG44" i="13" s="1"/>
  <c r="CF52" i="13"/>
  <c r="CG52" i="13" s="1"/>
  <c r="CF24" i="13"/>
  <c r="CG24" i="13" s="1"/>
  <c r="CF56" i="13"/>
  <c r="CG56" i="13" s="1"/>
  <c r="CF45" i="13"/>
  <c r="CG45" i="13" s="1"/>
  <c r="CF30" i="13"/>
  <c r="CG30" i="13" s="1"/>
  <c r="CF18" i="13"/>
  <c r="CG18" i="13" s="1"/>
  <c r="CF55" i="13"/>
  <c r="CG55" i="13" s="1"/>
  <c r="CF27" i="13"/>
  <c r="CG27" i="13" s="1"/>
  <c r="CF15" i="13"/>
  <c r="CG15" i="13" s="1"/>
  <c r="CF51" i="13"/>
  <c r="CG51" i="13" s="1"/>
  <c r="CF43" i="13"/>
  <c r="CG43" i="13" s="1"/>
  <c r="CF54" i="13"/>
  <c r="CG54" i="13" s="1"/>
  <c r="CF57" i="13"/>
  <c r="CG57" i="13" s="1"/>
  <c r="CF46" i="13"/>
  <c r="CG46" i="13" s="1"/>
  <c r="CF21" i="13"/>
  <c r="CG21" i="13" s="1"/>
  <c r="CF41" i="13"/>
  <c r="CG41" i="13" s="1"/>
  <c r="CF40" i="13"/>
  <c r="CG40" i="13" s="1"/>
  <c r="CF26" i="13"/>
  <c r="CG26" i="13" s="1"/>
  <c r="CF25" i="13"/>
  <c r="CG25" i="13" s="1"/>
  <c r="CF23" i="13"/>
  <c r="CG23" i="13" s="1"/>
  <c r="CF22" i="13"/>
  <c r="CG22" i="13" s="1"/>
  <c r="CF19" i="13"/>
  <c r="CG19" i="13" s="1"/>
  <c r="T46" i="13"/>
  <c r="CF13" i="13"/>
  <c r="CG13" i="13" s="1"/>
  <c r="CF14" i="13"/>
  <c r="CG14" i="13" s="1"/>
  <c r="T40" i="13"/>
  <c r="U40" i="13" s="1"/>
  <c r="T25" i="13"/>
  <c r="U25" i="13" s="1"/>
  <c r="T23" i="13"/>
  <c r="U23" i="13" s="1"/>
  <c r="T22" i="13"/>
  <c r="U22" i="13" s="1"/>
  <c r="T13" i="13"/>
  <c r="U13" i="13" s="1"/>
  <c r="T28" i="13"/>
  <c r="U28" i="13" s="1"/>
  <c r="T16" i="13"/>
  <c r="U16" i="13" s="1"/>
  <c r="T27" i="13"/>
  <c r="U27" i="13" s="1"/>
  <c r="T15" i="13"/>
  <c r="U15" i="13" s="1"/>
  <c r="T26" i="13"/>
  <c r="U26" i="13" s="1"/>
  <c r="T14" i="13"/>
  <c r="U14" i="13" s="1"/>
  <c r="T17" i="13"/>
  <c r="U17" i="13" s="1"/>
  <c r="T24" i="13"/>
  <c r="U24" i="13" s="1"/>
  <c r="T21" i="13"/>
  <c r="U21" i="13" s="1"/>
  <c r="T29" i="13"/>
  <c r="U29" i="13" s="1"/>
  <c r="T20" i="13"/>
  <c r="U20" i="13" s="1"/>
  <c r="T19" i="13"/>
  <c r="U19" i="13" s="1"/>
  <c r="T30" i="13"/>
  <c r="U30" i="13" s="1"/>
  <c r="T18" i="13"/>
  <c r="U18" i="13" s="1"/>
  <c r="T55" i="13"/>
  <c r="T51" i="13"/>
  <c r="T47" i="13"/>
  <c r="T57" i="13"/>
  <c r="T53" i="13"/>
  <c r="T49" i="13"/>
  <c r="T45" i="13"/>
  <c r="T56" i="13"/>
  <c r="T52" i="13"/>
  <c r="T48" i="13"/>
  <c r="T44" i="13"/>
  <c r="T54" i="13"/>
  <c r="T50" i="13"/>
  <c r="T42" i="13"/>
  <c r="T43" i="13"/>
  <c r="T41" i="13"/>
  <c r="AF33" i="25" l="1"/>
  <c r="AG33" i="25"/>
  <c r="AH33" i="25" s="1"/>
  <c r="AJ33" i="25" s="1"/>
  <c r="AF19" i="25"/>
  <c r="AG19" i="25"/>
  <c r="AH19" i="25" s="1"/>
  <c r="AJ19" i="25" s="1"/>
  <c r="AR33" i="25"/>
  <c r="AS33" i="25" s="1"/>
  <c r="AU33" i="25" s="1"/>
  <c r="AQ33" i="25"/>
  <c r="AQ19" i="25"/>
  <c r="AQ7" i="25" s="1"/>
  <c r="AR19" i="25"/>
  <c r="AS19" i="25" s="1"/>
  <c r="AU19" i="25" s="1"/>
  <c r="O47" i="25"/>
  <c r="AQ29" i="24"/>
  <c r="AQ7" i="24" s="1"/>
  <c r="AR40" i="23"/>
  <c r="AS40" i="23" s="1"/>
  <c r="AU40" i="23" s="1"/>
  <c r="AU7" i="23" s="1"/>
  <c r="AQ7" i="23"/>
  <c r="AG40" i="23"/>
  <c r="AH40" i="23" s="1"/>
  <c r="AJ40" i="23" s="1"/>
  <c r="AU8" i="22"/>
  <c r="AU7" i="22"/>
  <c r="D152" i="20"/>
  <c r="E152" i="20" s="1"/>
  <c r="F152" i="20" s="1"/>
  <c r="B153" i="20"/>
  <c r="CR57" i="13"/>
  <c r="CR56" i="13"/>
  <c r="CR55" i="13"/>
  <c r="CR54" i="13"/>
  <c r="CR53" i="13"/>
  <c r="CR52" i="13"/>
  <c r="CR51" i="13"/>
  <c r="CR50" i="13"/>
  <c r="CR49" i="13"/>
  <c r="CR48" i="13"/>
  <c r="CR47" i="13"/>
  <c r="CR46" i="13"/>
  <c r="CR45" i="13"/>
  <c r="CR44" i="13"/>
  <c r="CR43" i="13"/>
  <c r="CR42" i="13"/>
  <c r="CR41" i="13"/>
  <c r="CR40" i="13"/>
  <c r="CR30" i="13"/>
  <c r="CR29" i="13"/>
  <c r="CR28" i="13"/>
  <c r="CR27" i="13"/>
  <c r="CR26" i="13"/>
  <c r="CR25" i="13"/>
  <c r="CR24" i="13"/>
  <c r="CR23" i="13"/>
  <c r="CR22" i="13"/>
  <c r="CR21" i="13"/>
  <c r="CR20" i="13"/>
  <c r="CR19" i="13"/>
  <c r="CR18" i="13"/>
  <c r="CR17" i="13"/>
  <c r="CR16" i="13"/>
  <c r="CR15" i="13"/>
  <c r="CR14" i="13"/>
  <c r="CR13" i="13"/>
  <c r="BL16" i="13"/>
  <c r="BL17" i="13"/>
  <c r="BL18" i="13"/>
  <c r="BL19" i="13"/>
  <c r="BL20" i="13"/>
  <c r="BL21" i="13"/>
  <c r="BL43" i="13"/>
  <c r="BL44" i="13"/>
  <c r="BL45" i="13"/>
  <c r="BL46" i="13"/>
  <c r="BL47" i="13"/>
  <c r="BL48" i="13"/>
  <c r="CP55" i="13"/>
  <c r="CN55" i="13"/>
  <c r="CK55" i="13"/>
  <c r="CL55" i="13" s="1"/>
  <c r="CP52" i="13"/>
  <c r="CN52" i="13"/>
  <c r="CK52" i="13"/>
  <c r="CL52" i="13" s="1"/>
  <c r="CP49" i="13"/>
  <c r="CN49" i="13"/>
  <c r="CK49" i="13"/>
  <c r="CL49" i="13" s="1"/>
  <c r="CP46" i="13"/>
  <c r="CN46" i="13"/>
  <c r="CK46" i="13"/>
  <c r="CL46" i="13" s="1"/>
  <c r="CP43" i="13"/>
  <c r="CN43" i="13"/>
  <c r="CK43" i="13"/>
  <c r="CL43" i="13" s="1"/>
  <c r="CP40" i="13"/>
  <c r="CN40" i="13"/>
  <c r="CK40" i="13"/>
  <c r="CL40" i="13" s="1"/>
  <c r="CP28" i="13"/>
  <c r="CN28" i="13"/>
  <c r="CK28" i="13"/>
  <c r="CL28" i="13" s="1"/>
  <c r="CP25" i="13"/>
  <c r="CN25" i="13"/>
  <c r="CK25" i="13"/>
  <c r="CL25" i="13" s="1"/>
  <c r="CP22" i="13"/>
  <c r="CN22" i="13"/>
  <c r="CK22" i="13"/>
  <c r="CL22" i="13" s="1"/>
  <c r="CP19" i="13"/>
  <c r="CN19" i="13"/>
  <c r="CK19" i="13"/>
  <c r="CL19" i="13" s="1"/>
  <c r="CP16" i="13"/>
  <c r="CN16" i="13"/>
  <c r="CK16" i="13"/>
  <c r="CL16" i="13" s="1"/>
  <c r="CP13" i="13"/>
  <c r="CN13" i="13"/>
  <c r="CK13" i="13"/>
  <c r="CL13" i="13" s="1"/>
  <c r="C20" i="16"/>
  <c r="C19" i="16"/>
  <c r="E20" i="16"/>
  <c r="E19" i="16"/>
  <c r="E18" i="16"/>
  <c r="C14" i="16"/>
  <c r="AF57" i="13"/>
  <c r="AF56" i="13"/>
  <c r="AF55" i="13"/>
  <c r="AF54" i="13"/>
  <c r="AF53" i="13"/>
  <c r="AF52" i="13"/>
  <c r="AF51" i="13"/>
  <c r="AF50" i="13"/>
  <c r="AF49" i="13"/>
  <c r="AF48" i="13"/>
  <c r="AF47" i="13"/>
  <c r="AF46" i="13"/>
  <c r="AF45" i="13"/>
  <c r="AF44" i="13"/>
  <c r="AF43" i="13"/>
  <c r="AF42" i="13"/>
  <c r="AF41" i="13"/>
  <c r="AF40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13" i="13"/>
  <c r="BJ46" i="13"/>
  <c r="BH46" i="13"/>
  <c r="BE46" i="13"/>
  <c r="BF46" i="13" s="1"/>
  <c r="BJ43" i="13"/>
  <c r="BH43" i="13"/>
  <c r="BE43" i="13"/>
  <c r="BF43" i="13" s="1"/>
  <c r="AU8" i="23" l="1"/>
  <c r="B154" i="20"/>
  <c r="D153" i="20"/>
  <c r="E153" i="20" s="1"/>
  <c r="F153" i="20" s="1"/>
  <c r="CS28" i="13"/>
  <c r="CS19" i="13"/>
  <c r="CS55" i="13"/>
  <c r="CS46" i="13"/>
  <c r="CI40" i="13"/>
  <c r="CS52" i="13"/>
  <c r="CJ25" i="13"/>
  <c r="CI46" i="13"/>
  <c r="CJ13" i="13"/>
  <c r="CS49" i="13"/>
  <c r="CI22" i="13"/>
  <c r="CI28" i="13"/>
  <c r="BM43" i="13"/>
  <c r="CS16" i="13"/>
  <c r="CJ43" i="13"/>
  <c r="CJ40" i="13"/>
  <c r="BM16" i="13"/>
  <c r="CS22" i="13"/>
  <c r="CJ22" i="13"/>
  <c r="CJ19" i="13"/>
  <c r="CJ28" i="13"/>
  <c r="CJ16" i="13"/>
  <c r="CI49" i="13"/>
  <c r="CI16" i="13"/>
  <c r="CS13" i="13"/>
  <c r="CJ55" i="13"/>
  <c r="CJ52" i="13"/>
  <c r="BM46" i="13"/>
  <c r="CS25" i="13"/>
  <c r="CS43" i="13"/>
  <c r="CI25" i="13"/>
  <c r="CJ46" i="13"/>
  <c r="CJ49" i="13"/>
  <c r="CI43" i="13"/>
  <c r="CI13" i="13"/>
  <c r="CS40" i="13"/>
  <c r="CI52" i="13"/>
  <c r="CI55" i="13"/>
  <c r="CI19" i="13"/>
  <c r="BM19" i="13"/>
  <c r="AG40" i="13"/>
  <c r="AG13" i="13"/>
  <c r="AG49" i="13"/>
  <c r="AG19" i="13"/>
  <c r="AG28" i="13"/>
  <c r="BD46" i="13"/>
  <c r="AG46" i="13"/>
  <c r="AG16" i="13"/>
  <c r="AG52" i="13"/>
  <c r="AG43" i="13"/>
  <c r="AG55" i="13"/>
  <c r="BC46" i="13"/>
  <c r="AG22" i="13"/>
  <c r="AG25" i="13"/>
  <c r="BD43" i="13"/>
  <c r="CM13" i="13" l="1"/>
  <c r="CO13" i="13" s="1"/>
  <c r="CM22" i="13"/>
  <c r="CO22" i="13" s="1"/>
  <c r="DA22" i="13" s="1"/>
  <c r="CZ22" i="13" s="1"/>
  <c r="CM49" i="13"/>
  <c r="CO49" i="13" s="1"/>
  <c r="DA49" i="13" s="1"/>
  <c r="CZ49" i="13" s="1"/>
  <c r="BG43" i="13"/>
  <c r="BI43" i="13" s="1"/>
  <c r="CM43" i="13"/>
  <c r="CO43" i="13" s="1"/>
  <c r="DA43" i="13" s="1"/>
  <c r="CZ43" i="13" s="1"/>
  <c r="CM19" i="13"/>
  <c r="CO19" i="13" s="1"/>
  <c r="DA19" i="13" s="1"/>
  <c r="CZ19" i="13" s="1"/>
  <c r="CM25" i="13"/>
  <c r="CO25" i="13" s="1"/>
  <c r="DA25" i="13" s="1"/>
  <c r="CZ25" i="13" s="1"/>
  <c r="CM40" i="13"/>
  <c r="CO40" i="13" s="1"/>
  <c r="DA40" i="13" s="1"/>
  <c r="CZ40" i="13" s="1"/>
  <c r="CM52" i="13"/>
  <c r="CO52" i="13" s="1"/>
  <c r="DA52" i="13" s="1"/>
  <c r="CZ52" i="13" s="1"/>
  <c r="CM28" i="13"/>
  <c r="CO28" i="13" s="1"/>
  <c r="DA28" i="13" s="1"/>
  <c r="CZ28" i="13" s="1"/>
  <c r="CM46" i="13"/>
  <c r="CO46" i="13" s="1"/>
  <c r="DA46" i="13" s="1"/>
  <c r="CZ46" i="13" s="1"/>
  <c r="CM55" i="13"/>
  <c r="CO55" i="13" s="1"/>
  <c r="DA55" i="13" s="1"/>
  <c r="CZ55" i="13" s="1"/>
  <c r="BG46" i="13"/>
  <c r="BI46" i="13" s="1"/>
  <c r="CM16" i="13"/>
  <c r="CO16" i="13" s="1"/>
  <c r="DA16" i="13" s="1"/>
  <c r="CZ16" i="13" s="1"/>
  <c r="B155" i="20"/>
  <c r="D154" i="20"/>
  <c r="E154" i="20" s="1"/>
  <c r="F154" i="20" s="1"/>
  <c r="BE19" i="13"/>
  <c r="BF19" i="13" s="1"/>
  <c r="BE16" i="13"/>
  <c r="BF16" i="13" s="1"/>
  <c r="Y13" i="13"/>
  <c r="Z13" i="13" s="1"/>
  <c r="Y55" i="13"/>
  <c r="Z55" i="13" s="1"/>
  <c r="Y52" i="13"/>
  <c r="Z52" i="13" s="1"/>
  <c r="Y49" i="13"/>
  <c r="Z49" i="13" s="1"/>
  <c r="Y46" i="13"/>
  <c r="Z46" i="13" s="1"/>
  <c r="Y43" i="13"/>
  <c r="Z43" i="13" s="1"/>
  <c r="Z40" i="13"/>
  <c r="Y16" i="13"/>
  <c r="Z16" i="13" s="1"/>
  <c r="Y19" i="13"/>
  <c r="Z19" i="13" s="1"/>
  <c r="Y22" i="13"/>
  <c r="Z22" i="13" s="1"/>
  <c r="Y25" i="13"/>
  <c r="Z25" i="13" s="1"/>
  <c r="Y28" i="13"/>
  <c r="Z28" i="13" s="1"/>
  <c r="CY46" i="13" l="1"/>
  <c r="CX46" i="13" s="1"/>
  <c r="CY43" i="13"/>
  <c r="CX43" i="13" s="1"/>
  <c r="DA13" i="13"/>
  <c r="CZ13" i="13" s="1"/>
  <c r="CO9" i="13"/>
  <c r="D155" i="20"/>
  <c r="E155" i="20" s="1"/>
  <c r="F155" i="20" s="1"/>
  <c r="B156" i="20"/>
  <c r="AD13" i="13"/>
  <c r="AB13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D156" i="20" l="1"/>
  <c r="E156" i="20" s="1"/>
  <c r="F156" i="20" s="1"/>
  <c r="B157" i="20"/>
  <c r="X13" i="13"/>
  <c r="AA13" i="13" l="1"/>
  <c r="AC13" i="13" s="1"/>
  <c r="D157" i="20"/>
  <c r="E157" i="20" s="1"/>
  <c r="F157" i="20" s="1"/>
  <c r="B158" i="20"/>
  <c r="C15" i="16"/>
  <c r="AD55" i="13"/>
  <c r="DC55" i="13" s="1"/>
  <c r="AB55" i="13"/>
  <c r="X55" i="13"/>
  <c r="AA55" i="13" s="1"/>
  <c r="W55" i="13"/>
  <c r="AD52" i="13"/>
  <c r="DC52" i="13" s="1"/>
  <c r="AB52" i="13"/>
  <c r="X52" i="13"/>
  <c r="AA52" i="13" s="1"/>
  <c r="W52" i="13"/>
  <c r="AD49" i="13"/>
  <c r="AB49" i="13"/>
  <c r="X49" i="13"/>
  <c r="AA49" i="13" s="1"/>
  <c r="W49" i="13"/>
  <c r="AD46" i="13"/>
  <c r="DC46" i="13" s="1"/>
  <c r="AB46" i="13"/>
  <c r="X46" i="13"/>
  <c r="AA46" i="13" s="1"/>
  <c r="W46" i="13"/>
  <c r="AD43" i="13"/>
  <c r="DC43" i="13" s="1"/>
  <c r="AB43" i="13"/>
  <c r="X43" i="13"/>
  <c r="AA43" i="13" s="1"/>
  <c r="W43" i="13"/>
  <c r="AD40" i="13"/>
  <c r="DC40" i="13" s="1"/>
  <c r="AB40" i="13"/>
  <c r="X40" i="13"/>
  <c r="AA40" i="13" s="1"/>
  <c r="W40" i="13"/>
  <c r="BJ19" i="13"/>
  <c r="BH19" i="13"/>
  <c r="BD19" i="13"/>
  <c r="BG19" i="13" s="1"/>
  <c r="BC19" i="13"/>
  <c r="BJ16" i="13"/>
  <c r="BH16" i="13"/>
  <c r="BD16" i="13"/>
  <c r="BG16" i="13" s="1"/>
  <c r="BC16" i="13"/>
  <c r="X16" i="13"/>
  <c r="AA16" i="13" s="1"/>
  <c r="AB16" i="13"/>
  <c r="AD16" i="13"/>
  <c r="X19" i="13"/>
  <c r="AA19" i="13" s="1"/>
  <c r="AB19" i="13"/>
  <c r="AD19" i="13"/>
  <c r="X22" i="13"/>
  <c r="AA22" i="13" s="1"/>
  <c r="AB22" i="13"/>
  <c r="AD22" i="13"/>
  <c r="X25" i="13"/>
  <c r="AA25" i="13" s="1"/>
  <c r="AB25" i="13"/>
  <c r="AD25" i="13"/>
  <c r="X28" i="13"/>
  <c r="AA28" i="13" s="1"/>
  <c r="AB28" i="13"/>
  <c r="AD28" i="13"/>
  <c r="W28" i="13"/>
  <c r="W16" i="13"/>
  <c r="W19" i="13"/>
  <c r="W22" i="13"/>
  <c r="W25" i="13"/>
  <c r="W13" i="13"/>
  <c r="D158" i="20" l="1"/>
  <c r="E158" i="20" s="1"/>
  <c r="F158" i="20" s="1"/>
  <c r="B159" i="20"/>
  <c r="DC49" i="13"/>
  <c r="BI16" i="13"/>
  <c r="BI19" i="13"/>
  <c r="AC40" i="13"/>
  <c r="AC49" i="13"/>
  <c r="AC43" i="13"/>
  <c r="CW43" i="13" s="1"/>
  <c r="AC52" i="13"/>
  <c r="CW52" i="13" s="1"/>
  <c r="CV52" i="13" s="1"/>
  <c r="DC16" i="13"/>
  <c r="DC25" i="13"/>
  <c r="AC46" i="13"/>
  <c r="CW46" i="13" s="1"/>
  <c r="AC55" i="13"/>
  <c r="CW55" i="13" s="1"/>
  <c r="DC28" i="13"/>
  <c r="DC19" i="13"/>
  <c r="DC13" i="13"/>
  <c r="DC22" i="13"/>
  <c r="AC22" i="13"/>
  <c r="CW22" i="13" s="1"/>
  <c r="CV22" i="13" s="1"/>
  <c r="AC19" i="13"/>
  <c r="CW19" i="13" s="1"/>
  <c r="CV19" i="13" s="1"/>
  <c r="AC16" i="13"/>
  <c r="AC25" i="13"/>
  <c r="CW25" i="13" s="1"/>
  <c r="CV25" i="13" s="1"/>
  <c r="AC28" i="13"/>
  <c r="CW28" i="13" s="1"/>
  <c r="CV28" i="13" s="1"/>
  <c r="CY19" i="13" l="1"/>
  <c r="CX19" i="13" s="1"/>
  <c r="CY16" i="13"/>
  <c r="CX16" i="13" s="1"/>
  <c r="B160" i="20"/>
  <c r="D159" i="20"/>
  <c r="E159" i="20" s="1"/>
  <c r="F159" i="20" s="1"/>
  <c r="DE43" i="13"/>
  <c r="DF43" i="13" s="1"/>
  <c r="DL43" i="13" s="1"/>
  <c r="BI9" i="13"/>
  <c r="E14" i="16" s="1"/>
  <c r="CW16" i="13"/>
  <c r="CV16" i="13" s="1"/>
  <c r="AC9" i="13"/>
  <c r="DD19" i="13"/>
  <c r="DK19" i="13" s="1"/>
  <c r="DD25" i="13"/>
  <c r="CW49" i="13"/>
  <c r="CW40" i="13"/>
  <c r="CV43" i="13"/>
  <c r="DD43" i="13" s="1"/>
  <c r="DK43" i="13" s="1"/>
  <c r="DD52" i="13"/>
  <c r="DK52" i="13" s="1"/>
  <c r="DE52" i="13"/>
  <c r="DF52" i="13" s="1"/>
  <c r="DL52" i="13" s="1"/>
  <c r="DE22" i="13"/>
  <c r="DF22" i="13" s="1"/>
  <c r="DL22" i="13" s="1"/>
  <c r="DE25" i="13"/>
  <c r="DF25" i="13" s="1"/>
  <c r="DE28" i="13"/>
  <c r="DF28" i="13" s="1"/>
  <c r="CV55" i="13"/>
  <c r="DD55" i="13" s="1"/>
  <c r="DK55" i="13" s="1"/>
  <c r="DM55" i="13" s="1"/>
  <c r="DE55" i="13"/>
  <c r="DF55" i="13" s="1"/>
  <c r="DL55" i="13" s="1"/>
  <c r="CV46" i="13"/>
  <c r="DD46" i="13" s="1"/>
  <c r="DE46" i="13"/>
  <c r="DF46" i="13" s="1"/>
  <c r="DD13" i="13"/>
  <c r="DD28" i="13"/>
  <c r="DE13" i="13"/>
  <c r="DF13" i="13" s="1"/>
  <c r="DD22" i="13"/>
  <c r="DK22" i="13" s="1"/>
  <c r="DE19" i="13"/>
  <c r="DF19" i="13" s="1"/>
  <c r="DL19" i="13" s="1"/>
  <c r="DN46" i="13" l="1"/>
  <c r="DK46" i="13"/>
  <c r="DO46" i="13"/>
  <c r="DP46" i="13" s="1"/>
  <c r="DL46" i="13"/>
  <c r="DM52" i="13"/>
  <c r="DM43" i="13"/>
  <c r="DM19" i="13"/>
  <c r="DM22" i="13"/>
  <c r="B161" i="20"/>
  <c r="D160" i="20"/>
  <c r="E160" i="20" s="1"/>
  <c r="F160" i="20" s="1"/>
  <c r="DD16" i="13"/>
  <c r="DN13" i="13"/>
  <c r="DO13" i="13"/>
  <c r="DN25" i="13"/>
  <c r="DN28" i="13"/>
  <c r="DO28" i="13"/>
  <c r="DO22" i="13"/>
  <c r="DN22" i="13"/>
  <c r="DO25" i="13"/>
  <c r="DN19" i="13"/>
  <c r="DI19" i="13"/>
  <c r="DO19" i="13"/>
  <c r="DH43" i="13"/>
  <c r="DN43" i="13"/>
  <c r="DO43" i="13"/>
  <c r="DN55" i="13"/>
  <c r="DN52" i="13"/>
  <c r="DI55" i="13"/>
  <c r="DO55" i="13"/>
  <c r="DO52" i="13"/>
  <c r="DI43" i="13"/>
  <c r="DE16" i="13"/>
  <c r="DF16" i="13" s="1"/>
  <c r="DL16" i="13" s="1"/>
  <c r="DH19" i="13"/>
  <c r="DH25" i="13"/>
  <c r="DH52" i="13"/>
  <c r="DE40" i="13"/>
  <c r="DF40" i="13" s="1"/>
  <c r="CV40" i="13"/>
  <c r="DD40" i="13" s="1"/>
  <c r="DE49" i="13"/>
  <c r="DF49" i="13" s="1"/>
  <c r="DL49" i="13" s="1"/>
  <c r="CV49" i="13"/>
  <c r="DD49" i="13" s="1"/>
  <c r="DK49" i="13" s="1"/>
  <c r="DI52" i="13"/>
  <c r="DI28" i="13"/>
  <c r="DI22" i="13"/>
  <c r="DI25" i="13"/>
  <c r="DH28" i="13"/>
  <c r="DH55" i="13"/>
  <c r="DH22" i="13"/>
  <c r="DH46" i="13"/>
  <c r="DI46" i="13"/>
  <c r="E15" i="16"/>
  <c r="DM49" i="13" l="1"/>
  <c r="DM46" i="13"/>
  <c r="DN16" i="13"/>
  <c r="DK16" i="13"/>
  <c r="DM16" i="13" s="1"/>
  <c r="B162" i="20"/>
  <c r="D161" i="20"/>
  <c r="E161" i="20" s="1"/>
  <c r="F161" i="20" s="1"/>
  <c r="DH16" i="13"/>
  <c r="DP19" i="13"/>
  <c r="DJ19" i="13"/>
  <c r="DP22" i="13"/>
  <c r="DJ43" i="13"/>
  <c r="DP13" i="13"/>
  <c r="DP28" i="13"/>
  <c r="DJ22" i="13"/>
  <c r="DP25" i="13"/>
  <c r="DJ28" i="13"/>
  <c r="DJ25" i="13"/>
  <c r="DI16" i="13"/>
  <c r="DO16" i="13"/>
  <c r="DP16" i="13" s="1"/>
  <c r="DO40" i="13"/>
  <c r="DN40" i="13"/>
  <c r="DP43" i="13"/>
  <c r="DO49" i="13"/>
  <c r="DJ55" i="13"/>
  <c r="DJ52" i="13"/>
  <c r="DP52" i="13"/>
  <c r="DN49" i="13"/>
  <c r="DP55" i="13"/>
  <c r="DH49" i="13"/>
  <c r="DI49" i="13"/>
  <c r="DH40" i="13"/>
  <c r="DI40" i="13"/>
  <c r="DJ46" i="13"/>
  <c r="E13" i="16"/>
  <c r="D162" i="20" l="1"/>
  <c r="E162" i="20" s="1"/>
  <c r="F162" i="20" s="1"/>
  <c r="B163" i="20"/>
  <c r="DJ16" i="13"/>
  <c r="DS4" i="13"/>
  <c r="DS3" i="13"/>
  <c r="DP40" i="13"/>
  <c r="DJ40" i="13"/>
  <c r="DP49" i="13"/>
  <c r="DJ49" i="13"/>
  <c r="D163" i="20" l="1"/>
  <c r="E163" i="20" s="1"/>
  <c r="F163" i="20" s="1"/>
  <c r="B164" i="20"/>
  <c r="DS2" i="13"/>
  <c r="DS5" i="13"/>
  <c r="D164" i="20" l="1"/>
  <c r="E164" i="20" s="1"/>
  <c r="F164" i="20" s="1"/>
  <c r="B165" i="20"/>
  <c r="DS6" i="13"/>
  <c r="DT6" i="13" s="1"/>
  <c r="DT3" i="13"/>
  <c r="DT5" i="13"/>
  <c r="DT4" i="13"/>
  <c r="B166" i="20" l="1"/>
  <c r="D165" i="20"/>
  <c r="E165" i="20" s="1"/>
  <c r="F165" i="20" s="1"/>
  <c r="B167" i="20" l="1"/>
  <c r="D166" i="20"/>
  <c r="E166" i="20" s="1"/>
  <c r="F166" i="20" s="1"/>
  <c r="D167" i="20" l="1"/>
  <c r="E167" i="20" s="1"/>
  <c r="F167" i="20" s="1"/>
  <c r="B168" i="20"/>
  <c r="D168" i="20" l="1"/>
  <c r="E168" i="20" s="1"/>
  <c r="F168" i="20" s="1"/>
  <c r="B169" i="20"/>
  <c r="D169" i="20" l="1"/>
  <c r="E169" i="20" s="1"/>
  <c r="F169" i="20" s="1"/>
  <c r="B170" i="20"/>
  <c r="D170" i="20" l="1"/>
  <c r="E170" i="20" s="1"/>
  <c r="F170" i="20" s="1"/>
  <c r="B171" i="20"/>
  <c r="B172" i="20" l="1"/>
  <c r="D171" i="20"/>
  <c r="E171" i="20" s="1"/>
  <c r="F171" i="20" s="1"/>
  <c r="B173" i="20" l="1"/>
  <c r="D172" i="20"/>
  <c r="E172" i="20" s="1"/>
  <c r="F172" i="20" s="1"/>
  <c r="B174" i="20" l="1"/>
  <c r="D173" i="20"/>
  <c r="E173" i="20" s="1"/>
  <c r="F173" i="20" s="1"/>
  <c r="D174" i="20" l="1"/>
  <c r="E174" i="20" s="1"/>
  <c r="F174" i="20" s="1"/>
  <c r="B175" i="20"/>
  <c r="D175" i="20" l="1"/>
  <c r="E175" i="20" s="1"/>
  <c r="F175" i="20" s="1"/>
  <c r="B176" i="20"/>
  <c r="D176" i="20" l="1"/>
  <c r="E176" i="20" s="1"/>
  <c r="F176" i="20" s="1"/>
  <c r="B177" i="20"/>
  <c r="B178" i="20" l="1"/>
  <c r="D177" i="20"/>
  <c r="E177" i="20" s="1"/>
  <c r="F177" i="20" s="1"/>
  <c r="B179" i="20" l="1"/>
  <c r="D178" i="20"/>
  <c r="E178" i="20" s="1"/>
  <c r="F178" i="20" s="1"/>
  <c r="D179" i="20" l="1"/>
  <c r="E179" i="20" s="1"/>
  <c r="F179" i="20" s="1"/>
  <c r="B180" i="20"/>
  <c r="D180" i="20" l="1"/>
  <c r="E180" i="20" s="1"/>
  <c r="F180" i="20" s="1"/>
  <c r="B181" i="20"/>
  <c r="D181" i="20" l="1"/>
  <c r="E181" i="20" s="1"/>
  <c r="F181" i="20" s="1"/>
  <c r="B182" i="20"/>
  <c r="D182" i="20" l="1"/>
  <c r="E182" i="20" s="1"/>
  <c r="F182" i="20" s="1"/>
  <c r="B183" i="20"/>
  <c r="B184" i="20" l="1"/>
  <c r="D183" i="20"/>
  <c r="E183" i="20" s="1"/>
  <c r="F183" i="20" s="1"/>
  <c r="B185" i="20" l="1"/>
  <c r="D184" i="20"/>
  <c r="E184" i="20" s="1"/>
  <c r="F184" i="20" s="1"/>
  <c r="B186" i="20" l="1"/>
  <c r="D185" i="20"/>
  <c r="E185" i="20" s="1"/>
  <c r="F185" i="20" s="1"/>
  <c r="D186" i="20" l="1"/>
  <c r="E186" i="20" s="1"/>
  <c r="F186" i="20" s="1"/>
  <c r="B187" i="20"/>
  <c r="D187" i="20" l="1"/>
  <c r="E187" i="20" s="1"/>
  <c r="F187" i="20" s="1"/>
  <c r="B188" i="20"/>
  <c r="D188" i="20" l="1"/>
  <c r="E188" i="20" s="1"/>
  <c r="F188" i="20" s="1"/>
  <c r="B189" i="20"/>
  <c r="B190" i="20" l="1"/>
  <c r="D189" i="20"/>
  <c r="E189" i="20" s="1"/>
  <c r="F189" i="20" s="1"/>
  <c r="B191" i="20" l="1"/>
  <c r="D190" i="20"/>
  <c r="E190" i="20" s="1"/>
  <c r="F190" i="20" s="1"/>
  <c r="D191" i="20" l="1"/>
  <c r="E191" i="20" s="1"/>
  <c r="F191" i="20" s="1"/>
  <c r="B192" i="20"/>
  <c r="D192" i="20" l="1"/>
  <c r="E192" i="20" s="1"/>
  <c r="F192" i="20" s="1"/>
  <c r="B193" i="20"/>
  <c r="D193" i="20" l="1"/>
  <c r="E193" i="20" s="1"/>
  <c r="F193" i="20" s="1"/>
  <c r="B194" i="20"/>
  <c r="D194" i="20" l="1"/>
  <c r="E194" i="20" s="1"/>
  <c r="F194" i="20" s="1"/>
  <c r="B195" i="20"/>
  <c r="B196" i="20" l="1"/>
  <c r="D195" i="20"/>
  <c r="E195" i="20" s="1"/>
  <c r="F195" i="20" s="1"/>
  <c r="B197" i="20" l="1"/>
  <c r="D196" i="20"/>
  <c r="E196" i="20" s="1"/>
  <c r="F196" i="20" s="1"/>
  <c r="B198" i="20" l="1"/>
  <c r="D197" i="20"/>
  <c r="E197" i="20" s="1"/>
  <c r="F197" i="20" s="1"/>
  <c r="D198" i="20" l="1"/>
  <c r="E198" i="20" s="1"/>
  <c r="F198" i="20" s="1"/>
  <c r="B199" i="20"/>
  <c r="D199" i="20" l="1"/>
  <c r="E199" i="20" s="1"/>
  <c r="F199" i="20" s="1"/>
  <c r="B200" i="20"/>
  <c r="D200" i="20" l="1"/>
  <c r="E200" i="20" s="1"/>
  <c r="F200" i="20" s="1"/>
  <c r="B201" i="20"/>
  <c r="B202" i="20" l="1"/>
  <c r="D201" i="20"/>
  <c r="E201" i="20" s="1"/>
  <c r="F201" i="20" s="1"/>
  <c r="B203" i="20" l="1"/>
  <c r="D202" i="20"/>
  <c r="E202" i="20" s="1"/>
  <c r="F202" i="20" s="1"/>
  <c r="D203" i="20" l="1"/>
  <c r="E203" i="20" s="1"/>
  <c r="F203" i="20" s="1"/>
  <c r="B204" i="20"/>
  <c r="D204" i="20" l="1"/>
  <c r="E204" i="20" s="1"/>
  <c r="F204" i="20" s="1"/>
  <c r="B205" i="20"/>
  <c r="D205" i="20" l="1"/>
  <c r="E205" i="20" s="1"/>
  <c r="F205" i="20" s="1"/>
  <c r="B206" i="20"/>
  <c r="D206" i="20" l="1"/>
  <c r="E206" i="20" s="1"/>
  <c r="F206" i="20" s="1"/>
  <c r="B207" i="20"/>
  <c r="B208" i="20" l="1"/>
  <c r="D207" i="20"/>
  <c r="E207" i="20" s="1"/>
  <c r="F207" i="20" s="1"/>
  <c r="B209" i="20" l="1"/>
  <c r="D208" i="20"/>
  <c r="E208" i="20" s="1"/>
  <c r="F208" i="20" s="1"/>
  <c r="B210" i="20" l="1"/>
  <c r="D209" i="20"/>
  <c r="E209" i="20" s="1"/>
  <c r="F209" i="20" s="1"/>
  <c r="D210" i="20" l="1"/>
  <c r="E210" i="20" s="1"/>
  <c r="F210" i="20" s="1"/>
  <c r="B211" i="20"/>
  <c r="D211" i="20" l="1"/>
  <c r="E211" i="20" s="1"/>
  <c r="F211" i="20" s="1"/>
  <c r="B212" i="20"/>
  <c r="D212" i="20" l="1"/>
  <c r="E212" i="20" s="1"/>
  <c r="F212" i="20" s="1"/>
  <c r="B213" i="20"/>
  <c r="D213" i="20" l="1"/>
  <c r="E213" i="20" s="1"/>
  <c r="F213" i="20" s="1"/>
  <c r="B214" i="20"/>
  <c r="B215" i="20" l="1"/>
  <c r="D214" i="20"/>
  <c r="E214" i="20" s="1"/>
  <c r="F214" i="20" s="1"/>
  <c r="D215" i="20" l="1"/>
  <c r="E215" i="20" s="1"/>
  <c r="F215" i="20" s="1"/>
  <c r="B216" i="20"/>
  <c r="D216" i="20" l="1"/>
  <c r="E216" i="20" s="1"/>
  <c r="F216" i="20" s="1"/>
  <c r="B217" i="20"/>
  <c r="D217" i="20" l="1"/>
  <c r="E217" i="20" s="1"/>
  <c r="F217" i="20" s="1"/>
  <c r="B218" i="20"/>
  <c r="D218" i="20" l="1"/>
  <c r="E218" i="20" s="1"/>
  <c r="F218" i="20" s="1"/>
  <c r="B219" i="20"/>
  <c r="B220" i="20" l="1"/>
  <c r="D219" i="20"/>
  <c r="E219" i="20" s="1"/>
  <c r="F219" i="20" s="1"/>
  <c r="B221" i="20" l="1"/>
  <c r="D220" i="20"/>
  <c r="E220" i="20" s="1"/>
  <c r="F220" i="20" s="1"/>
  <c r="B222" i="20" l="1"/>
  <c r="D221" i="20"/>
  <c r="E221" i="20" s="1"/>
  <c r="F221" i="20" s="1"/>
  <c r="D222" i="20" l="1"/>
  <c r="E222" i="20" s="1"/>
  <c r="F222" i="20" s="1"/>
  <c r="B223" i="20"/>
  <c r="D223" i="20" l="1"/>
  <c r="E223" i="20" s="1"/>
  <c r="F223" i="20" s="1"/>
  <c r="B224" i="20"/>
  <c r="D224" i="20" l="1"/>
  <c r="E224" i="20" s="1"/>
  <c r="F224" i="20" s="1"/>
  <c r="B225" i="20"/>
  <c r="D225" i="20" l="1"/>
  <c r="E225" i="20" s="1"/>
  <c r="F225" i="20" s="1"/>
  <c r="B226" i="20"/>
  <c r="B227" i="20" l="1"/>
  <c r="D226" i="20"/>
  <c r="E226" i="20" s="1"/>
  <c r="F226" i="20" s="1"/>
  <c r="D227" i="20" l="1"/>
  <c r="E227" i="20" s="1"/>
  <c r="F227" i="20" s="1"/>
  <c r="B228" i="20"/>
  <c r="B229" i="20" l="1"/>
  <c r="D228" i="20"/>
  <c r="E228" i="20" s="1"/>
  <c r="F228" i="20" s="1"/>
  <c r="D229" i="20" l="1"/>
  <c r="E229" i="20" s="1"/>
  <c r="F229" i="20" s="1"/>
  <c r="B230" i="20"/>
  <c r="D230" i="20" l="1"/>
  <c r="E230" i="20" s="1"/>
  <c r="F230" i="20" s="1"/>
  <c r="B231" i="20"/>
  <c r="B232" i="20" l="1"/>
  <c r="D231" i="20"/>
  <c r="E231" i="20" s="1"/>
  <c r="F231" i="20" s="1"/>
  <c r="B233" i="20" l="1"/>
  <c r="D232" i="20"/>
  <c r="E232" i="20" s="1"/>
  <c r="F232" i="20" s="1"/>
  <c r="B234" i="20" l="1"/>
  <c r="D233" i="20"/>
  <c r="E233" i="20" s="1"/>
  <c r="F233" i="20" s="1"/>
  <c r="D234" i="20" l="1"/>
  <c r="E234" i="20" s="1"/>
  <c r="F234" i="20" s="1"/>
  <c r="B235" i="20"/>
  <c r="D235" i="20" l="1"/>
  <c r="E235" i="20" s="1"/>
  <c r="F235" i="20" s="1"/>
  <c r="B236" i="20"/>
  <c r="D236" i="20" l="1"/>
  <c r="E236" i="20" s="1"/>
  <c r="F236" i="20" s="1"/>
  <c r="B237" i="20"/>
  <c r="B238" i="20" l="1"/>
  <c r="D237" i="20"/>
  <c r="E237" i="20" s="1"/>
  <c r="F237" i="20" s="1"/>
  <c r="B239" i="20" l="1"/>
  <c r="D238" i="20"/>
  <c r="E238" i="20" s="1"/>
  <c r="F238" i="20" s="1"/>
  <c r="D239" i="20" l="1"/>
  <c r="E239" i="20" s="1"/>
  <c r="F239" i="20" s="1"/>
  <c r="B240" i="20"/>
  <c r="B241" i="20" l="1"/>
  <c r="D240" i="20"/>
  <c r="E240" i="20" s="1"/>
  <c r="F240" i="20" s="1"/>
  <c r="D241" i="20" l="1"/>
  <c r="E241" i="20" s="1"/>
  <c r="F241" i="20" s="1"/>
  <c r="B242" i="20"/>
  <c r="D242" i="20" l="1"/>
  <c r="E242" i="20" s="1"/>
  <c r="F242" i="20" s="1"/>
  <c r="B243" i="20"/>
  <c r="B244" i="20" l="1"/>
  <c r="D243" i="20"/>
  <c r="E243" i="20" s="1"/>
  <c r="F243" i="20" s="1"/>
  <c r="D244" i="20" l="1"/>
  <c r="E244" i="20" s="1"/>
  <c r="F244" i="20" s="1"/>
  <c r="B245" i="20"/>
  <c r="B246" i="20" l="1"/>
  <c r="D245" i="20"/>
  <c r="E245" i="20" s="1"/>
  <c r="F245" i="20" s="1"/>
  <c r="D246" i="20" l="1"/>
  <c r="E246" i="20" s="1"/>
  <c r="F246" i="20" s="1"/>
  <c r="B247" i="20"/>
  <c r="D247" i="20" l="1"/>
  <c r="E247" i="20" s="1"/>
  <c r="F247" i="20" s="1"/>
  <c r="B248" i="20"/>
  <c r="D248" i="20" l="1"/>
  <c r="E248" i="20" s="1"/>
  <c r="F248" i="20" s="1"/>
  <c r="B249" i="20"/>
  <c r="D249" i="20" l="1"/>
  <c r="E249" i="20" s="1"/>
  <c r="F249" i="20" s="1"/>
  <c r="B250" i="20"/>
  <c r="B251" i="20" l="1"/>
  <c r="D250" i="20"/>
  <c r="E250" i="20" s="1"/>
  <c r="F250" i="20" s="1"/>
  <c r="D251" i="20" l="1"/>
  <c r="E251" i="20" s="1"/>
  <c r="F251" i="20" s="1"/>
  <c r="B252" i="20"/>
  <c r="B253" i="20" l="1"/>
  <c r="D252" i="20"/>
  <c r="E252" i="20" s="1"/>
  <c r="F252" i="20" s="1"/>
  <c r="D253" i="20" l="1"/>
  <c r="E253" i="20" s="1"/>
  <c r="F253" i="20" s="1"/>
  <c r="B254" i="20"/>
  <c r="D254" i="20" l="1"/>
  <c r="E254" i="20" s="1"/>
  <c r="F254" i="20" s="1"/>
  <c r="B255" i="20"/>
  <c r="B256" i="20" l="1"/>
  <c r="D255" i="20"/>
  <c r="E255" i="20" s="1"/>
  <c r="F255" i="20" s="1"/>
  <c r="D256" i="20" l="1"/>
  <c r="E256" i="20" s="1"/>
  <c r="F256" i="20" s="1"/>
  <c r="B257" i="20"/>
  <c r="B258" i="20" l="1"/>
  <c r="D257" i="20"/>
  <c r="E257" i="20" s="1"/>
  <c r="F257" i="20" s="1"/>
  <c r="D258" i="20" l="1"/>
  <c r="E258" i="20" s="1"/>
  <c r="F258" i="20" s="1"/>
  <c r="B259" i="20"/>
  <c r="D259" i="20" l="1"/>
  <c r="E259" i="20" s="1"/>
  <c r="F259" i="20" s="1"/>
  <c r="B260" i="20"/>
  <c r="D260" i="20" l="1"/>
  <c r="E260" i="20" s="1"/>
  <c r="F260" i="20" s="1"/>
  <c r="B261" i="20"/>
  <c r="D261" i="20" l="1"/>
  <c r="E261" i="20" s="1"/>
  <c r="F261" i="20" s="1"/>
  <c r="B262" i="20"/>
  <c r="B263" i="20" l="1"/>
  <c r="D262" i="20"/>
  <c r="E262" i="20" s="1"/>
  <c r="F262" i="20" s="1"/>
  <c r="D263" i="20" l="1"/>
  <c r="E263" i="20" s="1"/>
  <c r="F263" i="20" s="1"/>
  <c r="B264" i="20"/>
  <c r="D264" i="20" l="1"/>
  <c r="E264" i="20" s="1"/>
  <c r="F264" i="20" s="1"/>
  <c r="B265" i="20"/>
  <c r="D265" i="20" l="1"/>
  <c r="E265" i="20" s="1"/>
  <c r="F265" i="20" s="1"/>
  <c r="B266" i="20"/>
  <c r="D266" i="20" l="1"/>
  <c r="E266" i="20" s="1"/>
  <c r="F266" i="20" s="1"/>
  <c r="B267" i="20"/>
  <c r="B268" i="20" l="1"/>
  <c r="D267" i="20"/>
  <c r="E267" i="20" s="1"/>
  <c r="F267" i="20" s="1"/>
  <c r="D268" i="20" l="1"/>
  <c r="E268" i="20" s="1"/>
  <c r="F268" i="20" s="1"/>
  <c r="B269" i="20"/>
  <c r="D269" i="20" l="1"/>
  <c r="E269" i="20" s="1"/>
  <c r="F269" i="20" s="1"/>
  <c r="B270" i="20"/>
  <c r="D270" i="20" l="1"/>
  <c r="E270" i="20" s="1"/>
  <c r="F270" i="20" s="1"/>
  <c r="B271" i="20"/>
  <c r="B272" i="20" l="1"/>
  <c r="D271" i="20"/>
  <c r="E271" i="20" s="1"/>
  <c r="F271" i="20" s="1"/>
  <c r="B273" i="20" l="1"/>
  <c r="D272" i="20"/>
  <c r="E272" i="20" s="1"/>
  <c r="F272" i="20" s="1"/>
  <c r="D273" i="20" l="1"/>
  <c r="E273" i="20" s="1"/>
  <c r="F273" i="20" s="1"/>
  <c r="B274" i="20"/>
  <c r="B275" i="20" l="1"/>
  <c r="D274" i="20"/>
  <c r="E274" i="20" s="1"/>
  <c r="F274" i="20" s="1"/>
  <c r="D275" i="20" l="1"/>
  <c r="E275" i="20" s="1"/>
  <c r="F275" i="20" s="1"/>
  <c r="B276" i="20"/>
  <c r="D276" i="20" l="1"/>
  <c r="E276" i="20" s="1"/>
  <c r="F276" i="20" s="1"/>
  <c r="B277" i="20"/>
  <c r="D277" i="20" l="1"/>
  <c r="E277" i="20" s="1"/>
  <c r="F277" i="20" s="1"/>
  <c r="B278" i="20"/>
  <c r="D278" i="20" l="1"/>
  <c r="E278" i="20" s="1"/>
  <c r="F278" i="20" s="1"/>
  <c r="B279" i="20"/>
  <c r="B280" i="20" l="1"/>
  <c r="D279" i="20"/>
  <c r="E279" i="20" s="1"/>
  <c r="F279" i="20" s="1"/>
  <c r="D280" i="20" l="1"/>
  <c r="E280" i="20" s="1"/>
  <c r="F280" i="20" s="1"/>
  <c r="B281" i="20"/>
  <c r="D281" i="20" l="1"/>
  <c r="E281" i="20" s="1"/>
  <c r="F281" i="20" s="1"/>
  <c r="B282" i="20"/>
  <c r="D282" i="20" l="1"/>
  <c r="E282" i="20" s="1"/>
  <c r="F282" i="20" s="1"/>
  <c r="B283" i="20"/>
  <c r="D283" i="20" l="1"/>
  <c r="E283" i="20" s="1"/>
  <c r="F283" i="20" s="1"/>
  <c r="B284" i="20"/>
  <c r="B285" i="20" l="1"/>
  <c r="D284" i="20"/>
  <c r="E284" i="20" s="1"/>
  <c r="F284" i="20" s="1"/>
  <c r="D285" i="20" l="1"/>
  <c r="E285" i="20" s="1"/>
  <c r="F285" i="20" s="1"/>
  <c r="B286" i="20"/>
  <c r="B287" i="20" l="1"/>
  <c r="D286" i="20"/>
  <c r="E286" i="20" s="1"/>
  <c r="F286" i="20" s="1"/>
  <c r="D287" i="20" l="1"/>
  <c r="E287" i="20" s="1"/>
  <c r="F287" i="20" s="1"/>
  <c r="B288" i="20"/>
  <c r="D288" i="20" l="1"/>
  <c r="E288" i="20" s="1"/>
  <c r="F288" i="20" s="1"/>
  <c r="B289" i="20"/>
  <c r="D289" i="20" l="1"/>
  <c r="E289" i="20" s="1"/>
  <c r="F289" i="20" s="1"/>
  <c r="B290" i="20"/>
  <c r="D290" i="20" l="1"/>
  <c r="E290" i="20" s="1"/>
  <c r="F290" i="20" s="1"/>
  <c r="B291" i="20"/>
  <c r="B292" i="20" l="1"/>
  <c r="D291" i="20"/>
  <c r="E291" i="20" s="1"/>
  <c r="F291" i="20" s="1"/>
  <c r="D292" i="20" l="1"/>
  <c r="E292" i="20" s="1"/>
  <c r="F292" i="20" s="1"/>
  <c r="B293" i="20"/>
  <c r="D293" i="20" l="1"/>
  <c r="E293" i="20" s="1"/>
  <c r="F293" i="20" s="1"/>
  <c r="B294" i="20"/>
  <c r="D294" i="20" l="1"/>
  <c r="E294" i="20" s="1"/>
  <c r="F294" i="20" s="1"/>
  <c r="B295" i="20"/>
  <c r="D295" i="20" l="1"/>
  <c r="E295" i="20" s="1"/>
  <c r="F295" i="20" s="1"/>
  <c r="B296" i="20"/>
  <c r="B297" i="20" l="1"/>
  <c r="D296" i="20"/>
  <c r="E296" i="20" s="1"/>
  <c r="F296" i="20" s="1"/>
  <c r="D297" i="20" l="1"/>
  <c r="E297" i="20" s="1"/>
  <c r="F297" i="20" s="1"/>
  <c r="B298" i="20"/>
  <c r="B299" i="20" l="1"/>
  <c r="D298" i="20"/>
  <c r="E298" i="20" s="1"/>
  <c r="F298" i="20" s="1"/>
  <c r="D299" i="20" l="1"/>
  <c r="E299" i="20" s="1"/>
  <c r="F299" i="20" s="1"/>
  <c r="B300" i="20"/>
  <c r="B301" i="20" l="1"/>
  <c r="D300" i="20"/>
  <c r="E300" i="20" s="1"/>
  <c r="F300" i="20" s="1"/>
  <c r="B302" i="20" l="1"/>
  <c r="D301" i="20"/>
  <c r="E301" i="20" s="1"/>
  <c r="F301" i="20" s="1"/>
  <c r="D302" i="20" l="1"/>
  <c r="E302" i="20" s="1"/>
  <c r="F302" i="20" s="1"/>
  <c r="B303" i="20"/>
  <c r="B304" i="20" l="1"/>
  <c r="D303" i="20"/>
  <c r="E303" i="20" s="1"/>
  <c r="F303" i="20" s="1"/>
  <c r="D304" i="20" l="1"/>
  <c r="E304" i="20" s="1"/>
  <c r="F304" i="20" s="1"/>
  <c r="B305" i="20"/>
  <c r="D305" i="20" l="1"/>
  <c r="E305" i="20" s="1"/>
  <c r="F305" i="20" s="1"/>
  <c r="B306" i="20"/>
  <c r="D306" i="20" l="1"/>
  <c r="E306" i="20" s="1"/>
  <c r="F306" i="20" s="1"/>
  <c r="B307" i="20"/>
  <c r="D307" i="20" l="1"/>
  <c r="E307" i="20" s="1"/>
  <c r="F307" i="20" s="1"/>
  <c r="B308" i="20"/>
  <c r="B309" i="20" l="1"/>
  <c r="D308" i="20"/>
  <c r="E308" i="20" s="1"/>
  <c r="F308" i="20" s="1"/>
  <c r="D309" i="20" l="1"/>
  <c r="E309" i="20" s="1"/>
  <c r="F309" i="20" s="1"/>
  <c r="B310" i="20"/>
  <c r="B311" i="20" l="1"/>
  <c r="D310" i="20"/>
  <c r="E310" i="20" s="1"/>
  <c r="F310" i="20" s="1"/>
  <c r="D311" i="20" l="1"/>
  <c r="E311" i="20" s="1"/>
  <c r="F311" i="20" s="1"/>
  <c r="B312" i="20"/>
  <c r="B313" i="20" l="1"/>
  <c r="D312" i="20"/>
  <c r="E312" i="20" s="1"/>
  <c r="F312" i="20" s="1"/>
  <c r="B314" i="20" l="1"/>
  <c r="D313" i="20"/>
  <c r="E313" i="20" s="1"/>
  <c r="F313" i="20" s="1"/>
  <c r="D314" i="20" l="1"/>
  <c r="E314" i="20" s="1"/>
  <c r="F314" i="20" s="1"/>
  <c r="B315" i="20"/>
  <c r="B316" i="20" l="1"/>
  <c r="D315" i="20"/>
  <c r="E315" i="20" s="1"/>
  <c r="F315" i="20" s="1"/>
  <c r="D316" i="20" l="1"/>
  <c r="E316" i="20" s="1"/>
  <c r="F316" i="20" s="1"/>
  <c r="B317" i="20"/>
  <c r="D317" i="20" l="1"/>
  <c r="E317" i="20" s="1"/>
  <c r="F317" i="20" s="1"/>
  <c r="B318" i="20"/>
  <c r="D318" i="20" l="1"/>
  <c r="E318" i="20" s="1"/>
  <c r="F318" i="20" s="1"/>
  <c r="B319" i="20"/>
  <c r="B320" i="20" l="1"/>
  <c r="D319" i="20"/>
  <c r="E319" i="20" s="1"/>
  <c r="F319" i="20" s="1"/>
  <c r="B321" i="20" l="1"/>
  <c r="D320" i="20"/>
  <c r="E320" i="20" s="1"/>
  <c r="F320" i="20" s="1"/>
  <c r="D321" i="20" l="1"/>
  <c r="E321" i="20" s="1"/>
  <c r="F321" i="20" s="1"/>
  <c r="B322" i="20"/>
  <c r="D322" i="20" l="1"/>
  <c r="E322" i="20" s="1"/>
  <c r="F322" i="20" s="1"/>
  <c r="B323" i="20"/>
  <c r="D323" i="20" l="1"/>
  <c r="E323" i="20" s="1"/>
  <c r="F323" i="20" s="1"/>
  <c r="B324" i="20"/>
  <c r="B325" i="20" l="1"/>
  <c r="D324" i="20"/>
  <c r="E324" i="20" s="1"/>
  <c r="F324" i="20" s="1"/>
  <c r="B326" i="20" l="1"/>
  <c r="D325" i="20"/>
  <c r="E325" i="20" s="1"/>
  <c r="F325" i="20" s="1"/>
  <c r="D326" i="20" l="1"/>
  <c r="E326" i="20" s="1"/>
  <c r="F326" i="20" s="1"/>
  <c r="B327" i="20"/>
  <c r="B328" i="20" l="1"/>
  <c r="D327" i="20"/>
  <c r="E327" i="20" s="1"/>
  <c r="F327" i="20" s="1"/>
  <c r="D328" i="20" l="1"/>
  <c r="E328" i="20" s="1"/>
  <c r="F328" i="20" s="1"/>
  <c r="B329" i="20"/>
  <c r="D329" i="20" l="1"/>
  <c r="E329" i="20" s="1"/>
  <c r="F329" i="20" s="1"/>
  <c r="B330" i="20"/>
  <c r="D330" i="20" l="1"/>
  <c r="E330" i="20" s="1"/>
  <c r="F330" i="20" s="1"/>
  <c r="B331" i="20"/>
  <c r="B332" i="20" l="1"/>
  <c r="D331" i="20"/>
  <c r="E331" i="20" s="1"/>
  <c r="F331" i="20" s="1"/>
  <c r="B333" i="20" l="1"/>
  <c r="D332" i="20"/>
  <c r="E332" i="20" s="1"/>
  <c r="F332" i="20" s="1"/>
  <c r="D333" i="20" l="1"/>
  <c r="E333" i="20" s="1"/>
  <c r="F333" i="20" s="1"/>
  <c r="B334" i="20"/>
  <c r="B335" i="20" l="1"/>
  <c r="D334" i="20"/>
  <c r="E334" i="20" s="1"/>
  <c r="F334" i="20" s="1"/>
  <c r="D335" i="20" l="1"/>
  <c r="E335" i="20" s="1"/>
  <c r="F335" i="20" s="1"/>
  <c r="B336" i="20"/>
  <c r="B337" i="20" l="1"/>
  <c r="D336" i="20"/>
  <c r="E336" i="20" s="1"/>
  <c r="F336" i="20" s="1"/>
  <c r="B338" i="20" l="1"/>
  <c r="D337" i="20"/>
  <c r="E337" i="20" s="1"/>
  <c r="F337" i="20" s="1"/>
  <c r="D338" i="20" l="1"/>
  <c r="E338" i="20" s="1"/>
  <c r="F338" i="20" s="1"/>
  <c r="B339" i="20"/>
  <c r="B340" i="20" l="1"/>
  <c r="D339" i="20"/>
  <c r="E339" i="20" s="1"/>
  <c r="F339" i="20" s="1"/>
  <c r="D340" i="20" l="1"/>
  <c r="E340" i="20" s="1"/>
  <c r="F340" i="20" s="1"/>
  <c r="B341" i="20"/>
  <c r="D341" i="20" l="1"/>
  <c r="E341" i="20" s="1"/>
  <c r="F341" i="20" s="1"/>
  <c r="B342" i="20"/>
  <c r="D342" i="20" l="1"/>
  <c r="E342" i="20" s="1"/>
  <c r="F342" i="20" s="1"/>
  <c r="B343" i="20"/>
  <c r="B344" i="20" l="1"/>
  <c r="D343" i="20"/>
  <c r="E343" i="20" s="1"/>
  <c r="F343" i="20" s="1"/>
  <c r="B345" i="20" l="1"/>
  <c r="D344" i="20"/>
  <c r="E344" i="20" s="1"/>
  <c r="F344" i="20" s="1"/>
  <c r="D345" i="20" l="1"/>
  <c r="E345" i="20" s="1"/>
  <c r="F345" i="20" s="1"/>
  <c r="B346" i="20"/>
  <c r="B347" i="20" l="1"/>
  <c r="D346" i="20"/>
  <c r="E346" i="20" s="1"/>
  <c r="F346" i="20" s="1"/>
  <c r="D347" i="20" l="1"/>
  <c r="E347" i="20" s="1"/>
  <c r="F347" i="20" s="1"/>
  <c r="B348" i="20"/>
  <c r="B349" i="20" l="1"/>
  <c r="D348" i="20"/>
  <c r="E348" i="20" s="1"/>
  <c r="F348" i="20" s="1"/>
  <c r="B350" i="20" l="1"/>
  <c r="D349" i="20"/>
  <c r="E349" i="20" s="1"/>
  <c r="F349" i="20" s="1"/>
  <c r="D350" i="20" l="1"/>
  <c r="E350" i="20" s="1"/>
  <c r="F350" i="20" s="1"/>
  <c r="B351" i="20"/>
  <c r="B352" i="20" l="1"/>
  <c r="D351" i="20"/>
  <c r="E351" i="20" s="1"/>
  <c r="F351" i="20" s="1"/>
  <c r="D352" i="20" l="1"/>
  <c r="E352" i="20" s="1"/>
  <c r="F352" i="20" s="1"/>
  <c r="B353" i="20"/>
  <c r="D353" i="20" l="1"/>
  <c r="E353" i="20" s="1"/>
  <c r="F353" i="20" s="1"/>
  <c r="B354" i="20"/>
  <c r="D354" i="20" l="1"/>
  <c r="E354" i="20" s="1"/>
  <c r="F354" i="20" s="1"/>
  <c r="B355" i="20"/>
  <c r="D355" i="20" l="1"/>
  <c r="E355" i="20" s="1"/>
  <c r="F355" i="20" s="1"/>
  <c r="B356" i="20"/>
  <c r="B357" i="20" l="1"/>
  <c r="D356" i="20"/>
  <c r="E356" i="20" s="1"/>
  <c r="F356" i="20" s="1"/>
  <c r="D357" i="20" l="1"/>
  <c r="E357" i="20" s="1"/>
  <c r="F357" i="20" s="1"/>
  <c r="B358" i="20"/>
  <c r="D358" i="20" s="1"/>
  <c r="E358" i="20" s="1"/>
  <c r="F35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Chinello, Gabriele</author>
  </authors>
  <commentList>
    <comment ref="I11" authorId="0" shapeId="0" xr:uid="{452A0161-98E6-463A-9A61-C67120C2848B}">
      <text>
        <r>
          <rPr>
            <b/>
            <sz val="9"/>
            <color indexed="81"/>
            <rFont val="Tahoma"/>
            <family val="2"/>
          </rPr>
          <t>Chinello, Gabriele:</t>
        </r>
        <r>
          <rPr>
            <sz val="9"/>
            <color indexed="81"/>
            <rFont val="Tahoma"/>
            <family val="2"/>
          </rPr>
          <t xml:space="preserve">
Calculated with REFPROP v10 for 
0.98 mol CH4
0.007 mol CO2
0.013 mol N2
</t>
        </r>
      </text>
    </comment>
    <comment ref="K11" authorId="0" shapeId="0" xr:uid="{FA1C6B52-83B1-453A-B4CA-24D0DEA48F65}">
      <text>
        <r>
          <rPr>
            <b/>
            <sz val="9"/>
            <color indexed="81"/>
            <rFont val="Tahoma"/>
            <family val="2"/>
          </rPr>
          <t>Chinello, Gabriele:</t>
        </r>
        <r>
          <rPr>
            <sz val="9"/>
            <color indexed="81"/>
            <rFont val="Tahoma"/>
            <family val="2"/>
          </rPr>
          <t xml:space="preserve">
Calculated with REFPROP v10 for 
0.98 mol CH4
0.007 mol CO2
0.013 mol N2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Chinello, Gabriele</author>
  </authors>
  <commentList>
    <comment ref="I11" authorId="0" shapeId="0" xr:uid="{C512ADA0-F258-45E9-8E45-1059619311ED}">
      <text>
        <r>
          <rPr>
            <b/>
            <sz val="9"/>
            <color indexed="81"/>
            <rFont val="Tahoma"/>
            <family val="2"/>
          </rPr>
          <t>Chinello, Gabriele:</t>
        </r>
        <r>
          <rPr>
            <sz val="9"/>
            <color indexed="81"/>
            <rFont val="Tahoma"/>
            <family val="2"/>
          </rPr>
          <t xml:space="preserve">
Calculated with REFPROP v10 for 
0.98 mol CH4
0.007 mol CO2
0.013 mol N2</t>
        </r>
      </text>
    </comment>
    <comment ref="K11" authorId="0" shapeId="0" xr:uid="{5B68916B-F7A7-4860-81D2-E198C4D102DD}">
      <text>
        <r>
          <rPr>
            <b/>
            <sz val="9"/>
            <color indexed="81"/>
            <rFont val="Tahoma"/>
            <family val="2"/>
          </rPr>
          <t>Chinello, Gabriele:</t>
        </r>
        <r>
          <rPr>
            <sz val="9"/>
            <color indexed="81"/>
            <rFont val="Tahoma"/>
            <family val="2"/>
          </rPr>
          <t xml:space="preserve">
Calculated with REFPROP v10 for 
0.98 mol CH4
0.007 mol CO2
0.013 mol N2</t>
        </r>
      </text>
    </comment>
  </commentList>
</comments>
</file>

<file path=xl/sharedStrings.xml><?xml version="1.0" encoding="utf-8"?>
<sst xmlns="http://schemas.openxmlformats.org/spreadsheetml/2006/main" count="1601" uniqueCount="200">
  <si>
    <t>TestPoint Timestamp</t>
  </si>
  <si>
    <t>Test Point</t>
  </si>
  <si>
    <t>p_abs_MUT</t>
  </si>
  <si>
    <t>T_MUT</t>
  </si>
  <si>
    <t>rho_MUT</t>
  </si>
  <si>
    <t>dev</t>
  </si>
  <si>
    <t>U_CMC(Vol)</t>
  </si>
  <si>
    <t>-</t>
  </si>
  <si>
    <t>bar</t>
  </si>
  <si>
    <t>°C</t>
  </si>
  <si>
    <t>%</t>
  </si>
  <si>
    <t>kg/m³</t>
  </si>
  <si>
    <t>FORCE</t>
  </si>
  <si>
    <r>
      <t>1/u</t>
    </r>
    <r>
      <rPr>
        <b/>
        <vertAlign val="superscript"/>
        <sz val="18"/>
        <color rgb="FF000000"/>
        <rFont val="Calibri"/>
        <family val="2"/>
      </rPr>
      <t>2</t>
    </r>
    <r>
      <rPr>
        <b/>
        <sz val="18"/>
        <color rgb="FF000000"/>
        <rFont val="Calibri"/>
        <family val="2"/>
      </rPr>
      <t>(x</t>
    </r>
    <r>
      <rPr>
        <b/>
        <vertAlign val="subscript"/>
        <sz val="18"/>
        <color rgb="FF000000"/>
        <rFont val="Calibri"/>
        <family val="2"/>
      </rPr>
      <t>i</t>
    </r>
    <r>
      <rPr>
        <b/>
        <sz val="18"/>
        <color rgb="FF000000"/>
        <rFont val="Calibri"/>
        <family val="2"/>
      </rPr>
      <t>)</t>
    </r>
  </si>
  <si>
    <r>
      <t>xi/u</t>
    </r>
    <r>
      <rPr>
        <b/>
        <vertAlign val="superscript"/>
        <sz val="18"/>
        <color rgb="FF000000"/>
        <rFont val="Calibri"/>
        <family val="2"/>
      </rPr>
      <t>2</t>
    </r>
    <r>
      <rPr>
        <b/>
        <sz val="18"/>
        <color rgb="FF000000"/>
        <rFont val="Calibri"/>
        <family val="2"/>
      </rPr>
      <t>(x</t>
    </r>
    <r>
      <rPr>
        <b/>
        <vertAlign val="subscript"/>
        <sz val="18"/>
        <color rgb="FF000000"/>
        <rFont val="Calibri"/>
        <family val="2"/>
      </rPr>
      <t>i</t>
    </r>
    <r>
      <rPr>
        <b/>
        <sz val="18"/>
        <color rgb="FF000000"/>
        <rFont val="Calibri"/>
        <family val="2"/>
      </rPr>
      <t>)</t>
    </r>
  </si>
  <si>
    <t>KCRV y</t>
  </si>
  <si>
    <r>
      <t>1/u</t>
    </r>
    <r>
      <rPr>
        <b/>
        <vertAlign val="superscript"/>
        <sz val="18"/>
        <color rgb="FF000000"/>
        <rFont val="Calibri"/>
        <family val="2"/>
      </rPr>
      <t>2</t>
    </r>
    <r>
      <rPr>
        <b/>
        <sz val="18"/>
        <color rgb="FF000000"/>
        <rFont val="Calibri"/>
        <family val="2"/>
      </rPr>
      <t>(y)</t>
    </r>
  </si>
  <si>
    <r>
      <t>d</t>
    </r>
    <r>
      <rPr>
        <b/>
        <vertAlign val="subscript"/>
        <sz val="18"/>
        <color rgb="FF000000"/>
        <rFont val="Calibri"/>
        <family val="2"/>
      </rPr>
      <t>i</t>
    </r>
  </si>
  <si>
    <t>En (%)</t>
  </si>
  <si>
    <r>
      <t>u(d</t>
    </r>
    <r>
      <rPr>
        <b/>
        <vertAlign val="subscript"/>
        <sz val="18"/>
        <color rgb="FF000000"/>
        <rFont val="Calibri"/>
        <family val="2"/>
      </rPr>
      <t>i</t>
    </r>
    <r>
      <rPr>
        <b/>
        <sz val="18"/>
        <color rgb="FF000000"/>
        <rFont val="Calibri"/>
        <family val="2"/>
      </rPr>
      <t>)</t>
    </r>
  </si>
  <si>
    <t>dev average</t>
  </si>
  <si>
    <t>std. dev</t>
  </si>
  <si>
    <t>uncertainty mean</t>
  </si>
  <si>
    <t>Total uncertainty</t>
  </si>
  <si>
    <t>Total tes points</t>
  </si>
  <si>
    <t>Above 1.2</t>
  </si>
  <si>
    <t>Above 1</t>
  </si>
  <si>
    <t xml:space="preserve">Between 1 and 1.2 </t>
  </si>
  <si>
    <t>(-)</t>
  </si>
  <si>
    <t>(%)</t>
  </si>
  <si>
    <t xml:space="preserve">Below equal 1 </t>
  </si>
  <si>
    <t>Force</t>
  </si>
  <si>
    <t>NEL</t>
  </si>
  <si>
    <t>u(y)</t>
  </si>
  <si>
    <t>DNV</t>
  </si>
  <si>
    <t>Coriolis Meter</t>
  </si>
  <si>
    <t>M_Reference</t>
  </si>
  <si>
    <t>M_MUT</t>
  </si>
  <si>
    <t>kg/s</t>
  </si>
  <si>
    <t>M Ref average</t>
  </si>
  <si>
    <t>M ref average</t>
  </si>
  <si>
    <t>bar a</t>
  </si>
  <si>
    <t>test points</t>
  </si>
  <si>
    <t>t-distribution</t>
  </si>
  <si>
    <t>Fluid</t>
  </si>
  <si>
    <t>CO2</t>
  </si>
  <si>
    <t>Q MUT average</t>
  </si>
  <si>
    <t>m3/h</t>
  </si>
  <si>
    <t xml:space="preserve">Q MUT </t>
  </si>
  <si>
    <t>Graph Mass</t>
  </si>
  <si>
    <t>Graph Volume</t>
  </si>
  <si>
    <t>U_CMC(mass)</t>
  </si>
  <si>
    <t>U_CMC(mass) average</t>
  </si>
  <si>
    <t>U_CMC(Mass)</t>
  </si>
  <si>
    <t>Test Number</t>
  </si>
  <si>
    <t>T03973</t>
  </si>
  <si>
    <t>T03981</t>
  </si>
  <si>
    <t>10/07/2024 10:02:09</t>
  </si>
  <si>
    <t>10/07/2024 10:11:43</t>
  </si>
  <si>
    <t>10/07/2024 10:21:47</t>
  </si>
  <si>
    <t>10/07/2024 10:47:45</t>
  </si>
  <si>
    <t>10/07/2024 10:58:47</t>
  </si>
  <si>
    <t>10/07/2024 11:08:29</t>
  </si>
  <si>
    <t>10/07/2024 11:20:27</t>
  </si>
  <si>
    <t>10/07/2024 11:31:27</t>
  </si>
  <si>
    <t>10/07/2024 11:41:21</t>
  </si>
  <si>
    <t>10/07/2024 12:05:59</t>
  </si>
  <si>
    <t>10/07/2024 12:25:14</t>
  </si>
  <si>
    <t>10/07/2024 12:45:04</t>
  </si>
  <si>
    <t>10/07/2024 13:06:25</t>
  </si>
  <si>
    <t>10/07/2024 13:25:38</t>
  </si>
  <si>
    <t>10/07/2024 13:45:59</t>
  </si>
  <si>
    <t>10/07/2024 14:07:38</t>
  </si>
  <si>
    <t>10/07/2024 14:26:34</t>
  </si>
  <si>
    <t>10/07/2024 14:45:47</t>
  </si>
  <si>
    <t>11/07/2024 09:49:27</t>
  </si>
  <si>
    <t>11/07/2024 09:58:57</t>
  </si>
  <si>
    <t>11/07/2024 10:08:32</t>
  </si>
  <si>
    <t>11/07/2024 10:20:21</t>
  </si>
  <si>
    <t>11/07/2024 10:30:10</t>
  </si>
  <si>
    <t>11/07/2024 10:49:43</t>
  </si>
  <si>
    <t>11/07/2024 11:01:46</t>
  </si>
  <si>
    <t>11/07/2024 11:12:20</t>
  </si>
  <si>
    <t>11/07/2024 11:22:46</t>
  </si>
  <si>
    <t>11/07/2024 11:51:56</t>
  </si>
  <si>
    <t>11/07/2024 12:11:07</t>
  </si>
  <si>
    <t>11/07/2024 12:30:48</t>
  </si>
  <si>
    <t>11/07/2024 12:51:35</t>
  </si>
  <si>
    <t>11/07/2024 13:10:40</t>
  </si>
  <si>
    <t>11/07/2024 13:29:52</t>
  </si>
  <si>
    <t>11/07/2024 13:50:18</t>
  </si>
  <si>
    <t>11/07/2024 14:09:18</t>
  </si>
  <si>
    <t>11/07/2024 14:27:59</t>
  </si>
  <si>
    <t>Speed of Sound</t>
  </si>
  <si>
    <t>Tube Frequency</t>
  </si>
  <si>
    <t>Tube Diameter</t>
  </si>
  <si>
    <t>Tube Radius</t>
  </si>
  <si>
    <t>a</t>
  </si>
  <si>
    <t>Compressibility correction fc</t>
  </si>
  <si>
    <t>Pressure correction fp</t>
  </si>
  <si>
    <t>m/s</t>
  </si>
  <si>
    <t>Hz</t>
  </si>
  <si>
    <t>mm</t>
  </si>
  <si>
    <t>M_MUT_Corrected</t>
  </si>
  <si>
    <t>m</t>
  </si>
  <si>
    <t>b</t>
  </si>
  <si>
    <t>Total -Spec</t>
  </si>
  <si>
    <t>Total  spec</t>
  </si>
  <si>
    <t xml:space="preserve">zerro influense </t>
  </si>
  <si>
    <t xml:space="preserve">Basic accuracy </t>
  </si>
  <si>
    <t xml:space="preserve">kg/s </t>
  </si>
  <si>
    <t xml:space="preserve">From PDS </t>
  </si>
  <si>
    <t xml:space="preserve">Spec </t>
  </si>
  <si>
    <t>kg/h</t>
  </si>
  <si>
    <t>Zero spec</t>
  </si>
  <si>
    <t>CMF 100</t>
  </si>
  <si>
    <t>T03966</t>
  </si>
  <si>
    <t>N2</t>
  </si>
  <si>
    <t>Format</t>
  </si>
  <si>
    <t>pulse/kg</t>
  </si>
  <si>
    <t>pulse</t>
  </si>
  <si>
    <t>Pa s</t>
  </si>
  <si>
    <t>barg</t>
  </si>
  <si>
    <t>s</t>
  </si>
  <si>
    <t>Display Units</t>
  </si>
  <si>
    <t>Target Setup Z Order</t>
  </si>
  <si>
    <t>Timestamp</t>
  </si>
  <si>
    <t>Number</t>
  </si>
  <si>
    <t>Target Attribute</t>
  </si>
  <si>
    <t>Testing.Measurements.MeasurementCalcs.MeasurementCalc</t>
  </si>
  <si>
    <t>Testing.TestPoints.TestPoint</t>
  </si>
  <si>
    <t>Target Type</t>
  </si>
  <si>
    <t>NaN</t>
  </si>
  <si>
    <t>m³/h</t>
  </si>
  <si>
    <t>pulse/m³</t>
  </si>
  <si>
    <r>
      <t>m</t>
    </r>
    <r>
      <rPr>
        <vertAlign val="superscript"/>
        <sz val="11"/>
        <color rgb="FFC00000"/>
        <rFont val="Calibri"/>
        <family val="2"/>
      </rPr>
      <t>3</t>
    </r>
    <r>
      <rPr>
        <sz val="11"/>
        <color rgb="FFC00000"/>
        <rFont val="Calibri"/>
        <family val="2"/>
      </rPr>
      <t>/s</t>
    </r>
  </si>
  <si>
    <t>bara</t>
  </si>
  <si>
    <t>Reference Mass Flow Rate (ṁ)</t>
  </si>
  <si>
    <t>Reference Volume Flow Rate (Q)</t>
  </si>
  <si>
    <t>K Factor (K)</t>
  </si>
  <si>
    <t>eTM</t>
  </si>
  <si>
    <t>eP</t>
  </si>
  <si>
    <t>eB</t>
  </si>
  <si>
    <t>eRE</t>
  </si>
  <si>
    <t>LOG(Re)</t>
  </si>
  <si>
    <t>Reynolds</t>
  </si>
  <si>
    <t>Meter Est Volume Flow (Qi)</t>
  </si>
  <si>
    <t>Meter Nominal Flow (Q)</t>
  </si>
  <si>
    <t xml:space="preserve">K nominal </t>
  </si>
  <si>
    <t>Test Meter Frequency (f)</t>
  </si>
  <si>
    <t>Meter Signal (P)</t>
  </si>
  <si>
    <t>Test Gas Dynamic Viscosity (μ)</t>
  </si>
  <si>
    <t>Test Gas Density (ρ)</t>
  </si>
  <si>
    <t>Test Pressure (Pgauge)</t>
  </si>
  <si>
    <t>Test Temperature (T)</t>
  </si>
  <si>
    <t>Overall Uncertainty</t>
  </si>
  <si>
    <t>Uncertainty of turbine mass</t>
  </si>
  <si>
    <t>Uncertainty of mean</t>
  </si>
  <si>
    <t>Standard Dev</t>
  </si>
  <si>
    <t>Meter % Error (E)</t>
  </si>
  <si>
    <t>Meter Est Mass Flow (ṁi)</t>
  </si>
  <si>
    <t>Isentropic expansion</t>
  </si>
  <si>
    <t>Gas Density (ρ)</t>
  </si>
  <si>
    <t>Test Pressure (Pabs)</t>
  </si>
  <si>
    <t>Ambient Pressure (Pamb)</t>
  </si>
  <si>
    <t>Collection Time (t)</t>
  </si>
  <si>
    <t>Reference Turbine Calcs</t>
  </si>
  <si>
    <t>Averaged values</t>
  </si>
  <si>
    <t>RefProp version 10</t>
  </si>
  <si>
    <t>ONLY PRESSURE CORRECTION APPLIED - NO COMPRESSIBILITY</t>
  </si>
  <si>
    <t>cp</t>
  </si>
  <si>
    <t>b1</t>
  </si>
  <si>
    <t>b0</t>
  </si>
  <si>
    <t>3" Coriolis Intercomparison 35 Bar</t>
  </si>
  <si>
    <t>Test Description</t>
  </si>
  <si>
    <t>a4</t>
  </si>
  <si>
    <t>Test Title</t>
  </si>
  <si>
    <t>a3</t>
  </si>
  <si>
    <t>T03127</t>
  </si>
  <si>
    <t>a2</t>
  </si>
  <si>
    <t>EMR013</t>
  </si>
  <si>
    <t>Job Number</t>
  </si>
  <si>
    <t>a1</t>
  </si>
  <si>
    <t>a0</t>
  </si>
  <si>
    <t>Table: Coriolis</t>
  </si>
  <si>
    <t>(End of Results Table)</t>
  </si>
  <si>
    <t>3" Coriolis Intercomparison 60 Bar</t>
  </si>
  <si>
    <t>T03119</t>
  </si>
  <si>
    <t>3" Coriolis Intercomparison 27 Bar CO2</t>
  </si>
  <si>
    <t>T03133</t>
  </si>
  <si>
    <t>3" Coriolis Intercomparison 37 Bar CO2</t>
  </si>
  <si>
    <t>T03135</t>
  </si>
  <si>
    <t>GC Origional</t>
  </si>
  <si>
    <t>Fitted K-factor</t>
  </si>
  <si>
    <t>Cp/Cv</t>
  </si>
  <si>
    <t>[-]</t>
  </si>
  <si>
    <t>molecular mass</t>
  </si>
  <si>
    <t>g/mol</t>
  </si>
  <si>
    <t>Speed of Sound (ideal gas)</t>
  </si>
  <si>
    <t>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</si>
</sst>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00"/>
    <numFmt numFmtId="165" formatCode="0.000000"/>
    <numFmt numFmtId="166" formatCode="0.0000000"/>
    <numFmt numFmtId="167" formatCode="dd/mm/yyyy\ hh:mm:ss"/>
    <numFmt numFmtId="168" formatCode="0.0"/>
    <numFmt numFmtId="169" formatCode="0.000000E+00"/>
    <numFmt numFmtId="170" formatCode="0.0000"/>
    <numFmt numFmtId="171" formatCode="0.00000"/>
    <numFmt numFmtId="172" formatCode="0.000000000"/>
    <numFmt numFmtId="173" formatCode="0.000E+00"/>
    <numFmt numFmtId="174" formatCode="0.0000E+00"/>
    <numFmt numFmtId="175" formatCode="0.000000000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FF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20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8"/>
      <color rgb="FF000000"/>
      <name val="Calibri"/>
      <family val="2"/>
    </font>
    <font>
      <b/>
      <vertAlign val="subscript"/>
      <sz val="18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C00000"/>
      <name val="Calibri"/>
      <family val="2"/>
    </font>
    <font>
      <vertAlign val="superscript"/>
      <sz val="11"/>
      <color rgb="FFC00000"/>
      <name val="Calibri"/>
      <family val="2"/>
    </font>
    <font>
      <b/>
      <sz val="11"/>
      <color rgb="FFC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598BDB"/>
      </patternFill>
    </fill>
    <fill>
      <patternFill patternType="solid">
        <fgColor rgb="FFB6D3EF"/>
      </patternFill>
    </fill>
    <fill>
      <patternFill patternType="solid">
        <fgColor rgb="FFFFFFFF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Border="0"/>
    <xf numFmtId="0" fontId="1" fillId="0" borderId="0"/>
    <xf numFmtId="0" fontId="1" fillId="0" borderId="0"/>
    <xf numFmtId="0" fontId="2" fillId="0" borderId="0" applyBorder="0"/>
    <xf numFmtId="0" fontId="22" fillId="0" borderId="0"/>
  </cellStyleXfs>
  <cellXfs count="212">
    <xf numFmtId="0" fontId="0" fillId="0" borderId="0" xfId="0"/>
    <xf numFmtId="0" fontId="3" fillId="0" borderId="0" xfId="1" applyFont="1"/>
    <xf numFmtId="0" fontId="2" fillId="0" borderId="0" xfId="1"/>
    <xf numFmtId="0" fontId="1" fillId="0" borderId="0" xfId="2"/>
    <xf numFmtId="0" fontId="4" fillId="2" borderId="2" xfId="1" applyFont="1" applyFill="1" applyBorder="1" applyAlignment="1">
      <alignment horizontal="center" vertical="top" wrapText="1"/>
    </xf>
    <xf numFmtId="0" fontId="2" fillId="3" borderId="2" xfId="1" applyFill="1" applyBorder="1" applyAlignment="1">
      <alignment horizontal="center"/>
    </xf>
    <xf numFmtId="0" fontId="1" fillId="0" borderId="2" xfId="2" applyBorder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165" fontId="0" fillId="0" borderId="2" xfId="0" applyNumberFormat="1" applyBorder="1"/>
    <xf numFmtId="0" fontId="4" fillId="0" borderId="0" xfId="1" applyFont="1" applyBorder="1" applyAlignment="1">
      <alignment horizontal="center" vertical="top" wrapText="1"/>
    </xf>
    <xf numFmtId="164" fontId="0" fillId="0" borderId="0" xfId="0" applyNumberFormat="1"/>
    <xf numFmtId="167" fontId="4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167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6" fontId="0" fillId="0" borderId="0" xfId="0" applyNumberFormat="1" applyAlignment="1">
      <alignment horizontal="center" vertical="top" wrapText="1"/>
    </xf>
    <xf numFmtId="166" fontId="4" fillId="0" borderId="0" xfId="0" applyNumberFormat="1" applyFont="1" applyAlignment="1">
      <alignment horizontal="center" vertical="top" wrapText="1"/>
    </xf>
    <xf numFmtId="166" fontId="0" fillId="0" borderId="0" xfId="0" applyNumberFormat="1" applyAlignment="1">
      <alignment horizontal="center"/>
    </xf>
    <xf numFmtId="11" fontId="0" fillId="0" borderId="0" xfId="0" applyNumberFormat="1"/>
    <xf numFmtId="0" fontId="0" fillId="9" borderId="0" xfId="0" applyFill="1" applyAlignment="1">
      <alignment horizontal="center"/>
    </xf>
    <xf numFmtId="0" fontId="0" fillId="0" borderId="0" xfId="0" applyAlignment="1">
      <alignment horizontal="center" vertical="top" wrapText="1"/>
    </xf>
    <xf numFmtId="11" fontId="1" fillId="0" borderId="0" xfId="2" applyNumberFormat="1"/>
    <xf numFmtId="165" fontId="0" fillId="0" borderId="0" xfId="0" applyNumberFormat="1" applyAlignment="1">
      <alignment horizontal="center" vertical="top" wrapText="1"/>
    </xf>
    <xf numFmtId="166" fontId="0" fillId="0" borderId="0" xfId="0" applyNumberForma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0" fillId="9" borderId="3" xfId="0" applyNumberForma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" fillId="11" borderId="0" xfId="1" applyFont="1" applyFill="1" applyBorder="1" applyAlignment="1">
      <alignment horizontal="center" vertical="top" wrapText="1"/>
    </xf>
    <xf numFmtId="0" fontId="2" fillId="9" borderId="0" xfId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13" fillId="0" borderId="2" xfId="0" applyFont="1" applyBorder="1"/>
    <xf numFmtId="2" fontId="13" fillId="0" borderId="2" xfId="0" applyNumberFormat="1" applyFont="1" applyBorder="1"/>
    <xf numFmtId="168" fontId="13" fillId="0" borderId="2" xfId="0" applyNumberFormat="1" applyFont="1" applyBorder="1"/>
    <xf numFmtId="168" fontId="13" fillId="10" borderId="2" xfId="0" applyNumberFormat="1" applyFont="1" applyFill="1" applyBorder="1"/>
    <xf numFmtId="167" fontId="0" fillId="0" borderId="0" xfId="0" applyNumberFormat="1" applyAlignment="1">
      <alignment horizontal="center" vertical="top" wrapText="1"/>
    </xf>
    <xf numFmtId="169" fontId="0" fillId="0" borderId="0" xfId="0" applyNumberFormat="1"/>
    <xf numFmtId="2" fontId="0" fillId="4" borderId="1" xfId="0" applyNumberFormat="1" applyFill="1" applyBorder="1" applyAlignment="1">
      <alignment horizontal="center" vertical="top" wrapText="1"/>
    </xf>
    <xf numFmtId="164" fontId="0" fillId="4" borderId="1" xfId="0" applyNumberFormat="1" applyFill="1" applyBorder="1" applyAlignment="1">
      <alignment horizontal="center" vertical="top" wrapText="1"/>
    </xf>
    <xf numFmtId="167" fontId="0" fillId="4" borderId="6" xfId="0" applyNumberFormat="1" applyFill="1" applyBorder="1" applyAlignment="1">
      <alignment horizontal="center" vertical="top" wrapText="1"/>
    </xf>
    <xf numFmtId="167" fontId="0" fillId="3" borderId="3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67" fontId="0" fillId="4" borderId="2" xfId="0" applyNumberFormat="1" applyFill="1" applyBorder="1" applyAlignment="1">
      <alignment horizontal="center" vertical="top" wrapText="1"/>
    </xf>
    <xf numFmtId="2" fontId="0" fillId="4" borderId="2" xfId="0" applyNumberFormat="1" applyFill="1" applyBorder="1" applyAlignment="1">
      <alignment horizontal="center" vertical="top" wrapText="1"/>
    </xf>
    <xf numFmtId="2" fontId="1" fillId="0" borderId="2" xfId="2" applyNumberFormat="1" applyBorder="1"/>
    <xf numFmtId="0" fontId="0" fillId="0" borderId="0" xfId="0" applyAlignment="1">
      <alignment horizontal="left"/>
    </xf>
    <xf numFmtId="170" fontId="0" fillId="4" borderId="1" xfId="0" applyNumberFormat="1" applyFill="1" applyBorder="1" applyAlignment="1">
      <alignment horizontal="center" vertical="top" wrapText="1"/>
    </xf>
    <xf numFmtId="171" fontId="0" fillId="4" borderId="1" xfId="0" applyNumberFormat="1" applyFill="1" applyBorder="1" applyAlignment="1">
      <alignment horizontal="center" vertical="top" wrapText="1"/>
    </xf>
    <xf numFmtId="0" fontId="1" fillId="0" borderId="0" xfId="3"/>
    <xf numFmtId="2" fontId="1" fillId="0" borderId="0" xfId="3" applyNumberFormat="1"/>
    <xf numFmtId="164" fontId="1" fillId="12" borderId="0" xfId="3" applyNumberFormat="1" applyFill="1"/>
    <xf numFmtId="170" fontId="1" fillId="0" borderId="0" xfId="3" applyNumberFormat="1"/>
    <xf numFmtId="0" fontId="1" fillId="12" borderId="0" xfId="3" applyFill="1"/>
    <xf numFmtId="0" fontId="1" fillId="10" borderId="0" xfId="3" applyFill="1"/>
    <xf numFmtId="172" fontId="1" fillId="0" borderId="0" xfId="3" applyNumberFormat="1"/>
    <xf numFmtId="165" fontId="0" fillId="0" borderId="0" xfId="0" applyNumberFormat="1"/>
    <xf numFmtId="0" fontId="2" fillId="0" borderId="0" xfId="4"/>
    <xf numFmtId="0" fontId="2" fillId="0" borderId="2" xfId="4" applyBorder="1"/>
    <xf numFmtId="164" fontId="2" fillId="4" borderId="7" xfId="4" applyNumberFormat="1" applyFill="1" applyBorder="1" applyAlignment="1">
      <alignment horizontal="center" vertical="top" wrapText="1"/>
    </xf>
    <xf numFmtId="2" fontId="2" fillId="4" borderId="7" xfId="4" applyNumberFormat="1" applyFill="1" applyBorder="1" applyAlignment="1">
      <alignment horizontal="center" vertical="top" wrapText="1"/>
    </xf>
    <xf numFmtId="2" fontId="2" fillId="4" borderId="1" xfId="4" applyNumberFormat="1" applyFill="1" applyBorder="1" applyAlignment="1">
      <alignment horizontal="center" vertical="top" wrapText="1"/>
    </xf>
    <xf numFmtId="173" fontId="2" fillId="4" borderId="1" xfId="4" applyNumberFormat="1" applyFill="1" applyBorder="1" applyAlignment="1">
      <alignment horizontal="center" vertical="top" wrapText="1"/>
    </xf>
    <xf numFmtId="164" fontId="2" fillId="4" borderId="1" xfId="4" applyNumberFormat="1" applyFill="1" applyBorder="1" applyAlignment="1">
      <alignment horizontal="center" vertical="top" wrapText="1"/>
    </xf>
    <xf numFmtId="1" fontId="2" fillId="4" borderId="1" xfId="4" applyNumberFormat="1" applyFill="1" applyBorder="1" applyAlignment="1">
      <alignment horizontal="center" vertical="top" wrapText="1"/>
    </xf>
    <xf numFmtId="174" fontId="2" fillId="4" borderId="1" xfId="4" applyNumberFormat="1" applyFill="1" applyBorder="1" applyAlignment="1">
      <alignment horizontal="center" vertical="top" wrapText="1"/>
    </xf>
    <xf numFmtId="2" fontId="2" fillId="0" borderId="0" xfId="4" applyNumberFormat="1"/>
    <xf numFmtId="0" fontId="2" fillId="0" borderId="0" xfId="4" applyAlignment="1">
      <alignment horizontal="left"/>
    </xf>
    <xf numFmtId="0" fontId="4" fillId="0" borderId="0" xfId="4" applyFont="1" applyAlignment="1">
      <alignment horizontal="right"/>
    </xf>
    <xf numFmtId="164" fontId="2" fillId="0" borderId="0" xfId="4" applyNumberFormat="1"/>
    <xf numFmtId="1" fontId="2" fillId="0" borderId="0" xfId="4" applyNumberFormat="1"/>
    <xf numFmtId="174" fontId="2" fillId="0" borderId="0" xfId="4" applyNumberFormat="1"/>
    <xf numFmtId="167" fontId="2" fillId="0" borderId="0" xfId="4" applyNumberFormat="1"/>
    <xf numFmtId="0" fontId="15" fillId="0" borderId="2" xfId="4" applyFont="1" applyBorder="1"/>
    <xf numFmtId="164" fontId="15" fillId="4" borderId="7" xfId="4" applyNumberFormat="1" applyFont="1" applyFill="1" applyBorder="1" applyAlignment="1">
      <alignment horizontal="center" vertical="top" wrapText="1"/>
    </xf>
    <xf numFmtId="2" fontId="15" fillId="4" borderId="1" xfId="4" applyNumberFormat="1" applyFont="1" applyFill="1" applyBorder="1" applyAlignment="1">
      <alignment horizontal="center" vertical="top" wrapText="1"/>
    </xf>
    <xf numFmtId="170" fontId="15" fillId="0" borderId="2" xfId="4" applyNumberFormat="1" applyFont="1" applyBorder="1"/>
    <xf numFmtId="170" fontId="15" fillId="4" borderId="2" xfId="4" applyNumberFormat="1" applyFont="1" applyFill="1" applyBorder="1" applyAlignment="1">
      <alignment horizontal="center" vertical="top" wrapText="1"/>
    </xf>
    <xf numFmtId="2" fontId="15" fillId="4" borderId="6" xfId="4" applyNumberFormat="1" applyFont="1" applyFill="1" applyBorder="1" applyAlignment="1">
      <alignment horizontal="center" vertical="top" wrapText="1"/>
    </xf>
    <xf numFmtId="164" fontId="15" fillId="4" borderId="2" xfId="4" applyNumberFormat="1" applyFont="1" applyFill="1" applyBorder="1" applyAlignment="1">
      <alignment horizontal="center" vertical="top" wrapText="1"/>
    </xf>
    <xf numFmtId="164" fontId="15" fillId="4" borderId="8" xfId="4" applyNumberFormat="1" applyFont="1" applyFill="1" applyBorder="1" applyAlignment="1">
      <alignment horizontal="center" vertical="top" wrapText="1"/>
    </xf>
    <xf numFmtId="173" fontId="15" fillId="4" borderId="7" xfId="4" applyNumberFormat="1" applyFont="1" applyFill="1" applyBorder="1" applyAlignment="1">
      <alignment horizontal="center" vertical="top" wrapText="1"/>
    </xf>
    <xf numFmtId="164" fontId="15" fillId="4" borderId="1" xfId="4" applyNumberFormat="1" applyFont="1" applyFill="1" applyBorder="1" applyAlignment="1">
      <alignment horizontal="center" vertical="top" wrapText="1"/>
    </xf>
    <xf numFmtId="1" fontId="15" fillId="4" borderId="1" xfId="4" applyNumberFormat="1" applyFont="1" applyFill="1" applyBorder="1" applyAlignment="1">
      <alignment horizontal="center" vertical="top" wrapText="1"/>
    </xf>
    <xf numFmtId="174" fontId="15" fillId="4" borderId="1" xfId="4" applyNumberFormat="1" applyFont="1" applyFill="1" applyBorder="1" applyAlignment="1">
      <alignment horizontal="center" vertical="top" wrapText="1"/>
    </xf>
    <xf numFmtId="2" fontId="15" fillId="0" borderId="0" xfId="4" applyNumberFormat="1" applyFont="1"/>
    <xf numFmtId="0" fontId="15" fillId="0" borderId="0" xfId="4" applyFont="1"/>
    <xf numFmtId="175" fontId="2" fillId="0" borderId="0" xfId="4" applyNumberFormat="1"/>
    <xf numFmtId="167" fontId="2" fillId="4" borderId="1" xfId="4" applyNumberFormat="1" applyFill="1" applyBorder="1" applyAlignment="1">
      <alignment horizontal="center" vertical="top" wrapText="1"/>
    </xf>
    <xf numFmtId="0" fontId="2" fillId="4" borderId="1" xfId="4" applyFill="1" applyBorder="1" applyAlignment="1">
      <alignment horizontal="center" vertical="top" wrapText="1"/>
    </xf>
    <xf numFmtId="0" fontId="16" fillId="0" borderId="0" xfId="4" applyFont="1"/>
    <xf numFmtId="2" fontId="16" fillId="0" borderId="0" xfId="4" applyNumberFormat="1" applyFont="1"/>
    <xf numFmtId="2" fontId="16" fillId="4" borderId="1" xfId="4" applyNumberFormat="1" applyFont="1" applyFill="1" applyBorder="1" applyAlignment="1">
      <alignment horizontal="center" vertical="top" wrapText="1"/>
    </xf>
    <xf numFmtId="164" fontId="16" fillId="4" borderId="1" xfId="4" applyNumberFormat="1" applyFont="1" applyFill="1" applyBorder="1" applyAlignment="1">
      <alignment horizontal="center" vertical="top" wrapText="1"/>
    </xf>
    <xf numFmtId="1" fontId="16" fillId="4" borderId="1" xfId="4" applyNumberFormat="1" applyFont="1" applyFill="1" applyBorder="1" applyAlignment="1">
      <alignment horizontal="center" vertical="top" wrapText="1"/>
    </xf>
    <xf numFmtId="174" fontId="16" fillId="4" borderId="1" xfId="4" applyNumberFormat="1" applyFont="1" applyFill="1" applyBorder="1" applyAlignment="1">
      <alignment horizontal="center" vertical="top" wrapText="1"/>
    </xf>
    <xf numFmtId="167" fontId="16" fillId="4" borderId="1" xfId="4" applyNumberFormat="1" applyFont="1" applyFill="1" applyBorder="1" applyAlignment="1">
      <alignment horizontal="center" vertical="top" wrapText="1"/>
    </xf>
    <xf numFmtId="0" fontId="16" fillId="4" borderId="1" xfId="4" applyFont="1" applyFill="1" applyBorder="1" applyAlignment="1">
      <alignment horizontal="center" vertical="top" wrapText="1"/>
    </xf>
    <xf numFmtId="164" fontId="2" fillId="3" borderId="3" xfId="4" applyNumberFormat="1" applyFill="1" applyBorder="1" applyAlignment="1">
      <alignment horizontal="center"/>
    </xf>
    <xf numFmtId="164" fontId="2" fillId="3" borderId="1" xfId="4" applyNumberFormat="1" applyFill="1" applyBorder="1" applyAlignment="1">
      <alignment horizontal="center"/>
    </xf>
    <xf numFmtId="2" fontId="17" fillId="3" borderId="1" xfId="4" applyNumberFormat="1" applyFont="1" applyFill="1" applyBorder="1" applyAlignment="1">
      <alignment horizontal="center"/>
    </xf>
    <xf numFmtId="164" fontId="17" fillId="3" borderId="3" xfId="4" applyNumberFormat="1" applyFont="1" applyFill="1" applyBorder="1" applyAlignment="1">
      <alignment horizontal="center"/>
    </xf>
    <xf numFmtId="164" fontId="17" fillId="3" borderId="9" xfId="4" applyNumberFormat="1" applyFont="1" applyFill="1" applyBorder="1" applyAlignment="1">
      <alignment horizontal="center"/>
    </xf>
    <xf numFmtId="164" fontId="17" fillId="3" borderId="10" xfId="4" applyNumberFormat="1" applyFont="1" applyFill="1" applyBorder="1" applyAlignment="1">
      <alignment horizontal="center"/>
    </xf>
    <xf numFmtId="164" fontId="17" fillId="3" borderId="1" xfId="4" applyNumberFormat="1" applyFont="1" applyFill="1" applyBorder="1" applyAlignment="1">
      <alignment horizontal="center"/>
    </xf>
    <xf numFmtId="164" fontId="17" fillId="3" borderId="11" xfId="4" applyNumberFormat="1" applyFont="1" applyFill="1" applyBorder="1" applyAlignment="1">
      <alignment horizontal="center"/>
    </xf>
    <xf numFmtId="1" fontId="2" fillId="3" borderId="1" xfId="4" applyNumberFormat="1" applyFill="1" applyBorder="1" applyAlignment="1">
      <alignment horizontal="center"/>
    </xf>
    <xf numFmtId="174" fontId="2" fillId="3" borderId="1" xfId="4" applyNumberFormat="1" applyFill="1" applyBorder="1" applyAlignment="1">
      <alignment horizontal="center"/>
    </xf>
    <xf numFmtId="2" fontId="2" fillId="3" borderId="1" xfId="4" applyNumberFormat="1" applyFill="1" applyBorder="1" applyAlignment="1">
      <alignment horizontal="center"/>
    </xf>
    <xf numFmtId="2" fontId="2" fillId="3" borderId="3" xfId="4" applyNumberFormat="1" applyFill="1" applyBorder="1" applyAlignment="1">
      <alignment horizontal="center"/>
    </xf>
    <xf numFmtId="167" fontId="2" fillId="3" borderId="1" xfId="4" applyNumberFormat="1" applyFill="1" applyBorder="1" applyAlignment="1">
      <alignment horizontal="center"/>
    </xf>
    <xf numFmtId="0" fontId="2" fillId="3" borderId="1" xfId="4" applyFill="1" applyBorder="1" applyAlignment="1">
      <alignment horizontal="center"/>
    </xf>
    <xf numFmtId="164" fontId="4" fillId="2" borderId="1" xfId="4" applyNumberFormat="1" applyFont="1" applyFill="1" applyBorder="1" applyAlignment="1">
      <alignment horizontal="center" vertical="top" wrapText="1"/>
    </xf>
    <xf numFmtId="2" fontId="19" fillId="2" borderId="1" xfId="4" applyNumberFormat="1" applyFont="1" applyFill="1" applyBorder="1" applyAlignment="1">
      <alignment horizontal="center" vertical="top" wrapText="1"/>
    </xf>
    <xf numFmtId="164" fontId="19" fillId="2" borderId="1" xfId="4" applyNumberFormat="1" applyFont="1" applyFill="1" applyBorder="1" applyAlignment="1">
      <alignment horizontal="center" vertical="top" wrapText="1"/>
    </xf>
    <xf numFmtId="164" fontId="19" fillId="2" borderId="3" xfId="4" applyNumberFormat="1" applyFont="1" applyFill="1" applyBorder="1" applyAlignment="1">
      <alignment horizontal="center" vertical="top" wrapText="1"/>
    </xf>
    <xf numFmtId="164" fontId="19" fillId="2" borderId="9" xfId="4" applyNumberFormat="1" applyFont="1" applyFill="1" applyBorder="1" applyAlignment="1">
      <alignment horizontal="center" vertical="top" wrapText="1"/>
    </xf>
    <xf numFmtId="164" fontId="19" fillId="2" borderId="2" xfId="4" applyNumberFormat="1" applyFont="1" applyFill="1" applyBorder="1" applyAlignment="1">
      <alignment horizontal="center" vertical="top" wrapText="1"/>
    </xf>
    <xf numFmtId="164" fontId="19" fillId="2" borderId="7" xfId="4" applyNumberFormat="1" applyFont="1" applyFill="1" applyBorder="1" applyAlignment="1">
      <alignment horizontal="center" vertical="top" wrapText="1"/>
    </xf>
    <xf numFmtId="1" fontId="4" fillId="2" borderId="1" xfId="4" applyNumberFormat="1" applyFont="1" applyFill="1" applyBorder="1" applyAlignment="1">
      <alignment horizontal="center" vertical="top" wrapText="1"/>
    </xf>
    <xf numFmtId="174" fontId="4" fillId="2" borderId="1" xfId="4" applyNumberFormat="1" applyFont="1" applyFill="1" applyBorder="1" applyAlignment="1">
      <alignment horizontal="center" vertical="top" wrapText="1"/>
    </xf>
    <xf numFmtId="2" fontId="4" fillId="2" borderId="1" xfId="4" applyNumberFormat="1" applyFont="1" applyFill="1" applyBorder="1" applyAlignment="1">
      <alignment horizontal="center" vertical="top" wrapText="1"/>
    </xf>
    <xf numFmtId="2" fontId="4" fillId="2" borderId="12" xfId="4" applyNumberFormat="1" applyFont="1" applyFill="1" applyBorder="1" applyAlignment="1">
      <alignment horizontal="center" vertical="top" wrapText="1"/>
    </xf>
    <xf numFmtId="164" fontId="4" fillId="2" borderId="12" xfId="4" applyNumberFormat="1" applyFont="1" applyFill="1" applyBorder="1" applyAlignment="1">
      <alignment horizontal="center" vertical="top" wrapText="1"/>
    </xf>
    <xf numFmtId="167" fontId="4" fillId="2" borderId="1" xfId="4" applyNumberFormat="1" applyFont="1" applyFill="1" applyBorder="1" applyAlignment="1">
      <alignment horizontal="center" vertical="top" wrapText="1"/>
    </xf>
    <xf numFmtId="0" fontId="4" fillId="2" borderId="1" xfId="4" applyFont="1" applyFill="1" applyBorder="1" applyAlignment="1">
      <alignment horizontal="center" vertical="top" wrapText="1"/>
    </xf>
    <xf numFmtId="0" fontId="4" fillId="0" borderId="0" xfId="4" applyFont="1" applyBorder="1"/>
    <xf numFmtId="0" fontId="20" fillId="0" borderId="0" xfId="4" applyFont="1" applyAlignment="1">
      <alignment horizontal="right"/>
    </xf>
    <xf numFmtId="173" fontId="2" fillId="0" borderId="0" xfId="4" applyNumberFormat="1"/>
    <xf numFmtId="0" fontId="5" fillId="0" borderId="0" xfId="4" applyFont="1" applyAlignment="1">
      <alignment horizontal="left"/>
    </xf>
    <xf numFmtId="170" fontId="2" fillId="0" borderId="2" xfId="4" applyNumberFormat="1" applyBorder="1"/>
    <xf numFmtId="170" fontId="2" fillId="4" borderId="2" xfId="4" applyNumberFormat="1" applyFill="1" applyBorder="1" applyAlignment="1">
      <alignment horizontal="center" vertical="top" wrapText="1"/>
    </xf>
    <xf numFmtId="11" fontId="2" fillId="4" borderId="1" xfId="4" applyNumberFormat="1" applyFill="1" applyBorder="1" applyAlignment="1">
      <alignment horizontal="center" vertical="top" wrapText="1"/>
    </xf>
    <xf numFmtId="2" fontId="2" fillId="4" borderId="6" xfId="4" applyNumberFormat="1" applyFill="1" applyBorder="1" applyAlignment="1">
      <alignment horizontal="center" vertical="top" wrapText="1"/>
    </xf>
    <xf numFmtId="164" fontId="2" fillId="4" borderId="2" xfId="4" applyNumberFormat="1" applyFill="1" applyBorder="1" applyAlignment="1">
      <alignment horizontal="center" vertical="top" wrapText="1"/>
    </xf>
    <xf numFmtId="164" fontId="2" fillId="4" borderId="8" xfId="4" applyNumberFormat="1" applyFill="1" applyBorder="1" applyAlignment="1">
      <alignment horizontal="center" vertical="top" wrapText="1"/>
    </xf>
    <xf numFmtId="173" fontId="2" fillId="4" borderId="7" xfId="4" applyNumberFormat="1" applyFill="1" applyBorder="1" applyAlignment="1">
      <alignment horizontal="center" vertical="top" wrapText="1"/>
    </xf>
    <xf numFmtId="2" fontId="2" fillId="0" borderId="10" xfId="4" applyNumberFormat="1" applyBorder="1" applyAlignment="1">
      <alignment vertical="center"/>
    </xf>
    <xf numFmtId="164" fontId="2" fillId="0" borderId="15" xfId="4" applyNumberFormat="1" applyBorder="1" applyAlignment="1">
      <alignment vertical="center"/>
    </xf>
    <xf numFmtId="0" fontId="2" fillId="10" borderId="0" xfId="4" applyFill="1"/>
    <xf numFmtId="11" fontId="15" fillId="4" borderId="1" xfId="4" applyNumberFormat="1" applyFont="1" applyFill="1" applyBorder="1" applyAlignment="1">
      <alignment horizontal="center" vertical="top" wrapText="1"/>
    </xf>
    <xf numFmtId="2" fontId="21" fillId="4" borderId="1" xfId="4" applyNumberFormat="1" applyFont="1" applyFill="1" applyBorder="1" applyAlignment="1">
      <alignment horizontal="center" vertical="top" wrapText="1"/>
    </xf>
    <xf numFmtId="164" fontId="21" fillId="4" borderId="1" xfId="4" applyNumberFormat="1" applyFont="1" applyFill="1" applyBorder="1" applyAlignment="1">
      <alignment horizontal="center" vertical="top" wrapText="1"/>
    </xf>
    <xf numFmtId="164" fontId="21" fillId="4" borderId="7" xfId="4" applyNumberFormat="1" applyFont="1" applyFill="1" applyBorder="1" applyAlignment="1">
      <alignment horizontal="center" vertical="top" wrapText="1"/>
    </xf>
    <xf numFmtId="170" fontId="21" fillId="0" borderId="2" xfId="4" applyNumberFormat="1" applyFont="1" applyBorder="1"/>
    <xf numFmtId="170" fontId="21" fillId="4" borderId="2" xfId="4" applyNumberFormat="1" applyFont="1" applyFill="1" applyBorder="1" applyAlignment="1">
      <alignment horizontal="center" vertical="top" wrapText="1"/>
    </xf>
    <xf numFmtId="0" fontId="21" fillId="0" borderId="2" xfId="4" applyFont="1" applyBorder="1"/>
    <xf numFmtId="11" fontId="21" fillId="4" borderId="1" xfId="4" applyNumberFormat="1" applyFont="1" applyFill="1" applyBorder="1" applyAlignment="1">
      <alignment horizontal="center" vertical="top" wrapText="1"/>
    </xf>
    <xf numFmtId="2" fontId="21" fillId="4" borderId="6" xfId="4" applyNumberFormat="1" applyFont="1" applyFill="1" applyBorder="1" applyAlignment="1">
      <alignment horizontal="center" vertical="top" wrapText="1"/>
    </xf>
    <xf numFmtId="164" fontId="21" fillId="4" borderId="2" xfId="4" applyNumberFormat="1" applyFont="1" applyFill="1" applyBorder="1" applyAlignment="1">
      <alignment horizontal="center" vertical="top" wrapText="1"/>
    </xf>
    <xf numFmtId="164" fontId="21" fillId="4" borderId="8" xfId="4" applyNumberFormat="1" applyFont="1" applyFill="1" applyBorder="1" applyAlignment="1">
      <alignment horizontal="center" vertical="top" wrapText="1"/>
    </xf>
    <xf numFmtId="173" fontId="21" fillId="4" borderId="7" xfId="4" applyNumberFormat="1" applyFont="1" applyFill="1" applyBorder="1" applyAlignment="1">
      <alignment horizontal="center" vertical="top" wrapText="1"/>
    </xf>
    <xf numFmtId="164" fontId="15" fillId="0" borderId="0" xfId="4" applyNumberFormat="1" applyFont="1"/>
    <xf numFmtId="1" fontId="21" fillId="4" borderId="1" xfId="4" applyNumberFormat="1" applyFont="1" applyFill="1" applyBorder="1" applyAlignment="1">
      <alignment horizontal="center" vertical="top" wrapText="1"/>
    </xf>
    <xf numFmtId="174" fontId="21" fillId="4" borderId="1" xfId="4" applyNumberFormat="1" applyFont="1" applyFill="1" applyBorder="1" applyAlignment="1">
      <alignment horizontal="center" vertical="top" wrapText="1"/>
    </xf>
    <xf numFmtId="164" fontId="16" fillId="0" borderId="0" xfId="4" applyNumberFormat="1" applyFont="1"/>
    <xf numFmtId="1" fontId="4" fillId="2" borderId="12" xfId="4" applyNumberFormat="1" applyFont="1" applyFill="1" applyBorder="1" applyAlignment="1">
      <alignment horizontal="center" vertical="top" wrapText="1"/>
    </xf>
    <xf numFmtId="174" fontId="4" fillId="2" borderId="12" xfId="4" applyNumberFormat="1" applyFont="1" applyFill="1" applyBorder="1" applyAlignment="1">
      <alignment horizontal="center" vertical="top" wrapText="1"/>
    </xf>
    <xf numFmtId="164" fontId="0" fillId="0" borderId="0" xfId="0" applyNumberFormat="1" applyAlignment="1">
      <alignment horizontal="center" vertical="center"/>
    </xf>
    <xf numFmtId="0" fontId="23" fillId="13" borderId="18" xfId="5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justify"/>
    </xf>
    <xf numFmtId="2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 vertical="justify"/>
    </xf>
    <xf numFmtId="2" fontId="0" fillId="0" borderId="8" xfId="0" applyNumberFormat="1" applyBorder="1" applyAlignment="1">
      <alignment horizontal="center" vertical="justify"/>
    </xf>
    <xf numFmtId="2" fontId="0" fillId="0" borderId="20" xfId="0" applyNumberFormat="1" applyBorder="1" applyAlignment="1">
      <alignment horizontal="center" vertical="justify"/>
    </xf>
    <xf numFmtId="14" fontId="0" fillId="0" borderId="13" xfId="0" applyNumberFormat="1" applyBorder="1" applyAlignment="1">
      <alignment horizontal="justify" vertical="justify"/>
    </xf>
    <xf numFmtId="14" fontId="0" fillId="0" borderId="2" xfId="0" applyNumberFormat="1" applyBorder="1" applyAlignment="1">
      <alignment horizontal="justify" vertical="justify"/>
    </xf>
    <xf numFmtId="14" fontId="0" fillId="0" borderId="19" xfId="0" applyNumberFormat="1" applyBorder="1" applyAlignment="1">
      <alignment horizontal="justify" vertical="justify"/>
    </xf>
    <xf numFmtId="2" fontId="0" fillId="0" borderId="3" xfId="0" applyNumberFormat="1" applyBorder="1" applyAlignment="1">
      <alignment horizontal="center" vertical="justify"/>
    </xf>
    <xf numFmtId="2" fontId="0" fillId="0" borderId="3" xfId="0" applyNumberFormat="1" applyBorder="1" applyAlignment="1">
      <alignment horizontal="center"/>
    </xf>
    <xf numFmtId="2" fontId="0" fillId="0" borderId="11" xfId="0" applyNumberFormat="1" applyBorder="1" applyAlignment="1">
      <alignment horizontal="center" vertical="justify"/>
    </xf>
    <xf numFmtId="0" fontId="23" fillId="0" borderId="0" xfId="5" applyFont="1" applyAlignment="1">
      <alignment horizontal="center"/>
    </xf>
    <xf numFmtId="0" fontId="23" fillId="13" borderId="2" xfId="5" applyFon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" fillId="0" borderId="5" xfId="2" applyNumberFormat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0" fillId="5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4" fontId="15" fillId="0" borderId="2" xfId="4" applyNumberFormat="1" applyFont="1" applyBorder="1" applyAlignment="1">
      <alignment horizontal="center" vertical="center"/>
    </xf>
    <xf numFmtId="2" fontId="2" fillId="0" borderId="2" xfId="4" applyNumberFormat="1" applyBorder="1" applyAlignment="1">
      <alignment horizontal="center" vertical="center"/>
    </xf>
    <xf numFmtId="0" fontId="4" fillId="0" borderId="8" xfId="4" applyFont="1" applyBorder="1" applyAlignment="1">
      <alignment horizontal="center"/>
    </xf>
    <xf numFmtId="0" fontId="4" fillId="0" borderId="14" xfId="4" applyFont="1" applyBorder="1" applyAlignment="1">
      <alignment horizontal="center"/>
    </xf>
    <xf numFmtId="0" fontId="4" fillId="0" borderId="13" xfId="4" applyFont="1" applyBorder="1" applyAlignment="1">
      <alignment horizontal="center"/>
    </xf>
    <xf numFmtId="164" fontId="16" fillId="0" borderId="2" xfId="4" applyNumberFormat="1" applyFont="1" applyBorder="1" applyAlignment="1">
      <alignment horizontal="center" vertical="center"/>
    </xf>
    <xf numFmtId="0" fontId="2" fillId="0" borderId="8" xfId="4" applyBorder="1" applyAlignment="1">
      <alignment horizontal="center"/>
    </xf>
    <xf numFmtId="0" fontId="2" fillId="0" borderId="14" xfId="4" applyBorder="1" applyAlignment="1">
      <alignment horizontal="center"/>
    </xf>
    <xf numFmtId="0" fontId="2" fillId="0" borderId="13" xfId="4" applyBorder="1" applyAlignment="1">
      <alignment horizontal="center"/>
    </xf>
    <xf numFmtId="0" fontId="2" fillId="0" borderId="2" xfId="4" applyBorder="1" applyAlignment="1">
      <alignment horizontal="center" vertical="center"/>
    </xf>
    <xf numFmtId="164" fontId="2" fillId="0" borderId="2" xfId="4" applyNumberFormat="1" applyBorder="1" applyAlignment="1">
      <alignment horizontal="center" vertical="center"/>
    </xf>
    <xf numFmtId="0" fontId="2" fillId="0" borderId="17" xfId="4" applyBorder="1" applyAlignment="1">
      <alignment horizontal="center"/>
    </xf>
    <xf numFmtId="0" fontId="2" fillId="0" borderId="16" xfId="4" applyBorder="1" applyAlignment="1">
      <alignment horizontal="center"/>
    </xf>
  </cellXfs>
  <cellStyles count="6">
    <cellStyle name="Normal" xfId="0" builtinId="0"/>
    <cellStyle name="Normal 2" xfId="2" xr:uid="{372E1225-7C0B-4B49-9B32-82AB0E33CE26}"/>
    <cellStyle name="Normal 3" xfId="4" xr:uid="{895161DD-DBE3-4EF7-BF51-D2B1FA4A2BBF}"/>
    <cellStyle name="Normal 4" xfId="3" xr:uid="{18EE92B6-B4D2-466C-B008-0E39A30DD09A}"/>
    <cellStyle name="Standard 2" xfId="1" xr:uid="{92D3D96D-CB21-4DEC-85F8-DC4AFA13ED00}"/>
    <cellStyle name="Standard_Tabelle1" xfId="5" xr:uid="{E9691290-15E2-4766-A719-90782DEC0A0B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worksheet" Target="worksheets/sheet7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6.xml"/><Relationship Id="rId17" Type="http://schemas.openxmlformats.org/officeDocument/2006/relationships/externalLink" Target="externalLinks/externalLink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5.xml"/><Relationship Id="rId24" Type="http://schemas.openxmlformats.org/officeDocument/2006/relationships/customXml" Target="../customXml/item3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9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4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3.xml"/><Relationship Id="rId14" Type="http://schemas.openxmlformats.org/officeDocument/2006/relationships/worksheet" Target="worksheets/sheet8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Mass Error</a:t>
            </a:r>
            <a:r>
              <a:rPr lang="en-GB" sz="1800" baseline="0"/>
              <a:t> for 3</a:t>
            </a:r>
            <a:r>
              <a:rPr lang="en-GB" sz="1800"/>
              <a:t>-inch Coriolis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NEL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Data!$AD$13:$AD$30</c:f>
              <c:numCache>
                <c:formatCode>0.00</c:formatCode>
                <c:ptCount val="18"/>
                <c:pt idx="0">
                  <c:v>7.7722790462822759</c:v>
                </c:pt>
                <c:pt idx="3">
                  <c:v>5.4358181354638093</c:v>
                </c:pt>
                <c:pt idx="6">
                  <c:v>3.1134241763286936</c:v>
                </c:pt>
                <c:pt idx="9">
                  <c:v>1.5649296099458034</c:v>
                </c:pt>
                <c:pt idx="12">
                  <c:v>0.78419226356274019</c:v>
                </c:pt>
                <c:pt idx="15">
                  <c:v>0.39579488214526864</c:v>
                </c:pt>
              </c:numCache>
            </c:numRef>
          </c:xVal>
          <c:yVal>
            <c:numRef>
              <c:f>Data!$W$13:$W$30</c:f>
              <c:numCache>
                <c:formatCode>0.000</c:formatCode>
                <c:ptCount val="18"/>
                <c:pt idx="0">
                  <c:v>0.13677365062709518</c:v>
                </c:pt>
                <c:pt idx="3">
                  <c:v>0.14193107362070129</c:v>
                </c:pt>
                <c:pt idx="6">
                  <c:v>0.17016216797385009</c:v>
                </c:pt>
                <c:pt idx="9">
                  <c:v>0.1287746410285274</c:v>
                </c:pt>
                <c:pt idx="12">
                  <c:v>0.10490170893416735</c:v>
                </c:pt>
                <c:pt idx="15">
                  <c:v>0.3108268345986861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81-4B2F-912F-4F1D2B203494}"/>
            </c:ext>
          </c:extLst>
        </c:ser>
        <c:ser>
          <c:idx val="1"/>
          <c:order val="1"/>
          <c:tx>
            <c:v>Force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Data!$BJ$13:$BJ$30</c:f>
              <c:numCache>
                <c:formatCode>0.00</c:formatCode>
                <c:ptCount val="18"/>
                <c:pt idx="3">
                  <c:v>5.3242862678161451</c:v>
                </c:pt>
                <c:pt idx="6">
                  <c:v>3.0503366216184986</c:v>
                </c:pt>
                <c:pt idx="9">
                  <c:v>1.5252615882749814</c:v>
                </c:pt>
              </c:numCache>
              <c:extLst xmlns:c15="http://schemas.microsoft.com/office/drawing/2012/chart"/>
            </c:numRef>
          </c:xVal>
          <c:yVal>
            <c:numRef>
              <c:f>Data!$BA$13:$BA$30</c:f>
              <c:numCache>
                <c:formatCode>0.000</c:formatCode>
                <c:ptCount val="18"/>
                <c:pt idx="3">
                  <c:v>9.7914100023102899E-2</c:v>
                </c:pt>
                <c:pt idx="4">
                  <c:v>0.10150513793698393</c:v>
                </c:pt>
                <c:pt idx="5">
                  <c:v>0.12472356655637332</c:v>
                </c:pt>
                <c:pt idx="6">
                  <c:v>-0.17087674902104016</c:v>
                </c:pt>
                <c:pt idx="7">
                  <c:v>-0.16295681863003972</c:v>
                </c:pt>
                <c:pt idx="8">
                  <c:v>-0.15348453183962651</c:v>
                </c:pt>
                <c:pt idx="9">
                  <c:v>-0.17991752334724681</c:v>
                </c:pt>
                <c:pt idx="10">
                  <c:v>-0.19055686164146682</c:v>
                </c:pt>
                <c:pt idx="11">
                  <c:v>-0.19869057049132113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F581-4B2F-912F-4F1D2B203494}"/>
            </c:ext>
          </c:extLst>
        </c:ser>
        <c:ser>
          <c:idx val="7"/>
          <c:order val="2"/>
          <c:tx>
            <c:v>DNV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Data!$CP$13:$CP$30</c:f>
              <c:numCache>
                <c:formatCode>0.00</c:formatCode>
                <c:ptCount val="18"/>
                <c:pt idx="0">
                  <c:v>6.7172711210124172</c:v>
                </c:pt>
                <c:pt idx="3">
                  <c:v>5.4108703101817675</c:v>
                </c:pt>
                <c:pt idx="6">
                  <c:v>2.9928192700269487</c:v>
                </c:pt>
                <c:pt idx="9">
                  <c:v>1.5657124743546975</c:v>
                </c:pt>
                <c:pt idx="12">
                  <c:v>0.64656619973792362</c:v>
                </c:pt>
                <c:pt idx="15">
                  <c:v>0.46331714973191929</c:v>
                </c:pt>
              </c:numCache>
            </c:numRef>
          </c:xVal>
          <c:yVal>
            <c:numRef>
              <c:f>Data!$CI$13:$CI$30</c:f>
              <c:numCache>
                <c:formatCode>0.000</c:formatCode>
                <c:ptCount val="18"/>
                <c:pt idx="0">
                  <c:v>0.21226393355126091</c:v>
                </c:pt>
                <c:pt idx="3">
                  <c:v>1.2678959556414406E-2</c:v>
                </c:pt>
                <c:pt idx="6">
                  <c:v>0.18182965505238999</c:v>
                </c:pt>
                <c:pt idx="9">
                  <c:v>0.13020546620771475</c:v>
                </c:pt>
                <c:pt idx="12">
                  <c:v>4.9888015477662813E-2</c:v>
                </c:pt>
                <c:pt idx="15">
                  <c:v>-3.8328310445799617E-2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F581-4B2F-912F-4F1D2B203494}"/>
            </c:ext>
          </c:extLst>
        </c:ser>
        <c:ser>
          <c:idx val="3"/>
          <c:order val="3"/>
          <c:tx>
            <c:v>NEL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Data!$AD$40:$AD$57</c:f>
              <c:numCache>
                <c:formatCode>0.00</c:formatCode>
                <c:ptCount val="18"/>
                <c:pt idx="0">
                  <c:v>4.8687009680114341</c:v>
                </c:pt>
                <c:pt idx="3">
                  <c:v>3.4099769410497269</c:v>
                </c:pt>
                <c:pt idx="6">
                  <c:v>1.9547833556650034</c:v>
                </c:pt>
                <c:pt idx="9">
                  <c:v>0.97681481879033238</c:v>
                </c:pt>
                <c:pt idx="12">
                  <c:v>0.49354689282644532</c:v>
                </c:pt>
                <c:pt idx="15">
                  <c:v>0.25443030919651199</c:v>
                </c:pt>
              </c:numCache>
            </c:numRef>
          </c:xVal>
          <c:yVal>
            <c:numRef>
              <c:f>Data!$W$40:$W$57</c:f>
              <c:numCache>
                <c:formatCode>0.000</c:formatCode>
                <c:ptCount val="18"/>
                <c:pt idx="0">
                  <c:v>0.23752868385534689</c:v>
                </c:pt>
                <c:pt idx="3">
                  <c:v>0.18205485376734054</c:v>
                </c:pt>
                <c:pt idx="6">
                  <c:v>0.14708425771983724</c:v>
                </c:pt>
                <c:pt idx="9">
                  <c:v>-5.4834697402907306E-2</c:v>
                </c:pt>
                <c:pt idx="12">
                  <c:v>-0.1506964290092192</c:v>
                </c:pt>
                <c:pt idx="15">
                  <c:v>-5.2923531586678223E-2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81-4B2F-912F-4F1D2B203494}"/>
            </c:ext>
          </c:extLst>
        </c:ser>
        <c:ser>
          <c:idx val="4"/>
          <c:order val="4"/>
          <c:tx>
            <c:v>Force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Data!$BJ$40:$BJ$57</c:f>
              <c:numCache>
                <c:formatCode>0.00</c:formatCode>
                <c:ptCount val="18"/>
                <c:pt idx="3">
                  <c:v>3.3332560733290122</c:v>
                </c:pt>
                <c:pt idx="6">
                  <c:v>1.9099364658821576</c:v>
                </c:pt>
                <c:pt idx="9">
                  <c:v>0.95640703643258929</c:v>
                </c:pt>
                <c:pt idx="12">
                  <c:v>0.47822025809487373</c:v>
                </c:pt>
                <c:pt idx="15">
                  <c:v>0.23911609379345197</c:v>
                </c:pt>
              </c:numCache>
              <c:extLst xmlns:c15="http://schemas.microsoft.com/office/drawing/2012/chart"/>
            </c:numRef>
          </c:xVal>
          <c:yVal>
            <c:numRef>
              <c:f>Data!$BC$40:$BC$57</c:f>
              <c:numCache>
                <c:formatCode>0.000</c:formatCode>
                <c:ptCount val="18"/>
                <c:pt idx="3">
                  <c:v>-4.561018965830644E-2</c:v>
                </c:pt>
                <c:pt idx="6">
                  <c:v>-0.19032310914915077</c:v>
                </c:pt>
                <c:pt idx="9">
                  <c:v>-0.32619508281422188</c:v>
                </c:pt>
                <c:pt idx="12">
                  <c:v>-0.28628625758407034</c:v>
                </c:pt>
                <c:pt idx="15">
                  <c:v>-0.27529590966746653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F581-4B2F-912F-4F1D2B203494}"/>
            </c:ext>
          </c:extLst>
        </c:ser>
        <c:ser>
          <c:idx val="6"/>
          <c:order val="5"/>
          <c:tx>
            <c:v>DNV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Data!$CP$40:$CP$57</c:f>
              <c:numCache>
                <c:formatCode>0.00</c:formatCode>
                <c:ptCount val="18"/>
                <c:pt idx="0">
                  <c:v>4.6371347141034711</c:v>
                </c:pt>
                <c:pt idx="3">
                  <c:v>3.5427122243414639</c:v>
                </c:pt>
                <c:pt idx="6">
                  <c:v>2.1424235069826523</c:v>
                </c:pt>
                <c:pt idx="9">
                  <c:v>1.1446477990148758</c:v>
                </c:pt>
                <c:pt idx="12">
                  <c:v>0.46282949676037638</c:v>
                </c:pt>
                <c:pt idx="15">
                  <c:v>0.32891255784956436</c:v>
                </c:pt>
              </c:numCache>
            </c:numRef>
          </c:xVal>
          <c:yVal>
            <c:numRef>
              <c:f>Data!$CI$40:$CI$57</c:f>
              <c:numCache>
                <c:formatCode>0.000</c:formatCode>
                <c:ptCount val="18"/>
                <c:pt idx="0">
                  <c:v>-4.5709592299222994E-2</c:v>
                </c:pt>
                <c:pt idx="3">
                  <c:v>1.251231068323152E-2</c:v>
                </c:pt>
                <c:pt idx="6">
                  <c:v>0.12982435450260174</c:v>
                </c:pt>
                <c:pt idx="9">
                  <c:v>0.13624897782207901</c:v>
                </c:pt>
                <c:pt idx="12">
                  <c:v>-4.0758486112558228E-3</c:v>
                </c:pt>
                <c:pt idx="15">
                  <c:v>-7.2105537168527328E-2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F581-4B2F-912F-4F1D2B203494}"/>
            </c:ext>
          </c:extLst>
        </c:ser>
        <c:ser>
          <c:idx val="12"/>
          <c:order val="9"/>
          <c:tx>
            <c:v>NEL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Data!$AC$9</c:f>
                <c:numCache>
                  <c:formatCode>General</c:formatCode>
                  <c:ptCount val="1"/>
                  <c:pt idx="0">
                    <c:v>0.35968373006967252</c:v>
                  </c:pt>
                </c:numCache>
              </c:numRef>
            </c:plus>
            <c:minus>
              <c:numRef>
                <c:f>Data!$AC$9</c:f>
                <c:numCache>
                  <c:formatCode>General</c:formatCode>
                  <c:ptCount val="1"/>
                  <c:pt idx="0">
                    <c:v>0.35968373006967252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Sheet2!$C$13</c:f>
              <c:numCache>
                <c:formatCode>0.00</c:formatCode>
                <c:ptCount val="1"/>
                <c:pt idx="0">
                  <c:v>8.5</c:v>
                </c:pt>
              </c:numCache>
            </c:numRef>
          </c:xVal>
          <c:yVal>
            <c:numRef>
              <c:f>Sheet2!$D$13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07-4187-A039-C1BB017A208B}"/>
            </c:ext>
          </c:extLst>
        </c:ser>
        <c:ser>
          <c:idx val="13"/>
          <c:order val="10"/>
          <c:tx>
            <c:v>Force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Data!$BI$9</c:f>
                <c:numCache>
                  <c:formatCode>General</c:formatCode>
                  <c:ptCount val="1"/>
                  <c:pt idx="0">
                    <c:v>0.28780447001045129</c:v>
                  </c:pt>
                </c:numCache>
                <c:extLst xmlns:c15="http://schemas.microsoft.com/office/drawing/2012/chart"/>
              </c:numRef>
            </c:plus>
            <c:minus>
              <c:numRef>
                <c:f>Data!$BI$9</c:f>
                <c:numCache>
                  <c:formatCode>General</c:formatCode>
                  <c:ptCount val="1"/>
                  <c:pt idx="0">
                    <c:v>0.28780447001045129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Sheet2!$C$14</c:f>
              <c:numCache>
                <c:formatCode>0.00</c:formatCode>
                <c:ptCount val="1"/>
                <c:pt idx="0">
                  <c:v>9</c:v>
                </c:pt>
              </c:numCache>
              <c:extLst xmlns:c15="http://schemas.microsoft.com/office/drawing/2012/chart"/>
            </c:numRef>
          </c:xVal>
          <c:yVal>
            <c:numRef>
              <c:f>Sheet2!$D$14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4407-4187-A039-C1BB017A208B}"/>
            </c:ext>
          </c:extLst>
        </c:ser>
        <c:ser>
          <c:idx val="14"/>
          <c:order val="11"/>
          <c:tx>
            <c:v>DNV Unc.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Data!$CO$9</c:f>
                <c:numCache>
                  <c:formatCode>General</c:formatCode>
                  <c:ptCount val="1"/>
                  <c:pt idx="0">
                    <c:v>0.27572503983825764</c:v>
                  </c:pt>
                </c:numCache>
              </c:numRef>
            </c:plus>
            <c:minus>
              <c:numRef>
                <c:f>Data!$CO$9</c:f>
                <c:numCache>
                  <c:formatCode>General</c:formatCode>
                  <c:ptCount val="1"/>
                  <c:pt idx="0">
                    <c:v>0.27572503983825764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Sheet2!$C$15</c:f>
              <c:numCache>
                <c:formatCode>0.00</c:formatCode>
                <c:ptCount val="1"/>
                <c:pt idx="0">
                  <c:v>9.5</c:v>
                </c:pt>
              </c:numCache>
              <c:extLst xmlns:c15="http://schemas.microsoft.com/office/drawing/2012/chart"/>
            </c:numRef>
          </c:xVal>
          <c:yVal>
            <c:numRef>
              <c:f>Sheet2!$D$15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4407-4187-A039-C1BB017A208B}"/>
            </c:ext>
          </c:extLst>
        </c:ser>
        <c:ser>
          <c:idx val="11"/>
          <c:order val="12"/>
          <c:tx>
            <c:v>NEL 38 bara N2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'Data N2 NEL'!$AD$13:$AD$27</c:f>
              <c:numCache>
                <c:formatCode>0.00</c:formatCode>
                <c:ptCount val="15"/>
                <c:pt idx="0">
                  <c:v>4.1019859936586833</c:v>
                </c:pt>
                <c:pt idx="3">
                  <c:v>2.3544478229827299</c:v>
                </c:pt>
                <c:pt idx="6">
                  <c:v>1.1687477926260466</c:v>
                </c:pt>
                <c:pt idx="9">
                  <c:v>0.59219632703919101</c:v>
                </c:pt>
                <c:pt idx="12">
                  <c:v>0.30246146198523566</c:v>
                </c:pt>
              </c:numCache>
              <c:extLst xmlns:c15="http://schemas.microsoft.com/office/drawing/2012/chart"/>
            </c:numRef>
          </c:xVal>
          <c:yVal>
            <c:numRef>
              <c:f>'Data N2 NEL'!$W$13:$W$27</c:f>
              <c:numCache>
                <c:formatCode>0.000</c:formatCode>
                <c:ptCount val="15"/>
                <c:pt idx="0">
                  <c:v>0.14134915530322331</c:v>
                </c:pt>
                <c:pt idx="3">
                  <c:v>0.14121849774893711</c:v>
                </c:pt>
                <c:pt idx="6">
                  <c:v>3.5597597680124611E-2</c:v>
                </c:pt>
                <c:pt idx="9">
                  <c:v>-5.4006012090092793E-2</c:v>
                </c:pt>
                <c:pt idx="12">
                  <c:v>-0.2126227185553359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081-48B0-BC62-CF5F83AF671F}"/>
            </c:ext>
          </c:extLst>
        </c:ser>
        <c:ser>
          <c:idx val="18"/>
          <c:order val="16"/>
          <c:tx>
            <c:v>FORCE 31 bara NG</c:v>
          </c:tx>
          <c:spPr>
            <a:ln w="25400" cap="rnd">
              <a:noFill/>
              <a:round/>
            </a:ln>
            <a:effectLst/>
          </c:spPr>
          <c:marker>
            <c:symbol val="x"/>
            <c:size val="7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 31 bar'!$AD$13:$AD$27</c:f>
              <c:numCache>
                <c:formatCode>0.00</c:formatCode>
                <c:ptCount val="15"/>
                <c:pt idx="0">
                  <c:v>0.1219832441871727</c:v>
                </c:pt>
                <c:pt idx="3">
                  <c:v>0.24404153431820907</c:v>
                </c:pt>
                <c:pt idx="6">
                  <c:v>0.5086715961565923</c:v>
                </c:pt>
                <c:pt idx="9">
                  <c:v>0.97573042133976229</c:v>
                </c:pt>
                <c:pt idx="12">
                  <c:v>1.7079465904992286</c:v>
                </c:pt>
              </c:numCache>
            </c:numRef>
          </c:xVal>
          <c:yVal>
            <c:numRef>
              <c:f>'Data NG FORCE 31 bar'!$W$13:$W$27</c:f>
              <c:numCache>
                <c:formatCode>0.000</c:formatCode>
                <c:ptCount val="15"/>
                <c:pt idx="0">
                  <c:v>-0.69898947354412921</c:v>
                </c:pt>
                <c:pt idx="3">
                  <c:v>-0.31998112308420185</c:v>
                </c:pt>
                <c:pt idx="6">
                  <c:v>2.9969197771378325E-2</c:v>
                </c:pt>
                <c:pt idx="9">
                  <c:v>2.9397107138738204E-2</c:v>
                </c:pt>
                <c:pt idx="12">
                  <c:v>9.6370898671581065E-2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A4-41FF-9A72-B08F5CD39343}"/>
            </c:ext>
          </c:extLst>
        </c:ser>
        <c:ser>
          <c:idx val="19"/>
          <c:order val="17"/>
          <c:tx>
            <c:v>FORCE 21 bara NG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19050">
                <a:solidFill>
                  <a:srgbClr val="7030A0"/>
                </a:solidFill>
              </a:ln>
              <a:effectLst/>
            </c:spPr>
          </c:marker>
          <c:xVal>
            <c:numRef>
              <c:f>'Data NG FORCE 21 bar'!$AD$13:$AD$27</c:f>
              <c:numCache>
                <c:formatCode>0.00</c:formatCode>
                <c:ptCount val="15"/>
                <c:pt idx="0">
                  <c:v>8.1228581962384278E-2</c:v>
                </c:pt>
                <c:pt idx="3">
                  <c:v>0.16247612421514079</c:v>
                </c:pt>
                <c:pt idx="6">
                  <c:v>0.3252972004978032</c:v>
                </c:pt>
                <c:pt idx="9">
                  <c:v>0.6511508456422983</c:v>
                </c:pt>
                <c:pt idx="12">
                  <c:v>1.1399090754601251</c:v>
                </c:pt>
              </c:numCache>
            </c:numRef>
          </c:xVal>
          <c:yVal>
            <c:numRef>
              <c:f>'Data NG FORCE 21 bar'!$W$13:$W$27</c:f>
              <c:numCache>
                <c:formatCode>0.000</c:formatCode>
                <c:ptCount val="15"/>
                <c:pt idx="0">
                  <c:v>-1.0717801185630931</c:v>
                </c:pt>
                <c:pt idx="3">
                  <c:v>-0.23207250497975493</c:v>
                </c:pt>
                <c:pt idx="6">
                  <c:v>6.4112864113922863E-2</c:v>
                </c:pt>
                <c:pt idx="9">
                  <c:v>0.15898875910604013</c:v>
                </c:pt>
                <c:pt idx="12">
                  <c:v>0.15670270137147332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A4-41FF-9A72-B08F5CD39343}"/>
            </c:ext>
          </c:extLst>
        </c:ser>
        <c:ser>
          <c:idx val="8"/>
          <c:order val="18"/>
          <c:tx>
            <c:v>Specs</c:v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'Coriolis Manufact Error'!$B$6:$B$358</c:f>
              <c:numCache>
                <c:formatCode>General</c:formatCode>
                <c:ptCount val="353"/>
                <c:pt idx="0">
                  <c:v>0.05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7.3999999999999995</c:v>
                </c:pt>
                <c:pt idx="149">
                  <c:v>7.4499999999999993</c:v>
                </c:pt>
                <c:pt idx="150">
                  <c:v>7.4999999999999991</c:v>
                </c:pt>
                <c:pt idx="151">
                  <c:v>7.5499999999999989</c:v>
                </c:pt>
                <c:pt idx="152">
                  <c:v>7.5999999999999988</c:v>
                </c:pt>
                <c:pt idx="153">
                  <c:v>7.6499999999999986</c:v>
                </c:pt>
                <c:pt idx="154">
                  <c:v>7.6999999999999984</c:v>
                </c:pt>
                <c:pt idx="155">
                  <c:v>7.7499999999999982</c:v>
                </c:pt>
                <c:pt idx="156">
                  <c:v>7.799999999999998</c:v>
                </c:pt>
                <c:pt idx="157">
                  <c:v>7.8499999999999979</c:v>
                </c:pt>
                <c:pt idx="158">
                  <c:v>7.8999999999999977</c:v>
                </c:pt>
                <c:pt idx="159">
                  <c:v>7.9499999999999975</c:v>
                </c:pt>
                <c:pt idx="160">
                  <c:v>7.9999999999999973</c:v>
                </c:pt>
                <c:pt idx="161">
                  <c:v>8.0499999999999972</c:v>
                </c:pt>
                <c:pt idx="162">
                  <c:v>8.0999999999999979</c:v>
                </c:pt>
                <c:pt idx="163">
                  <c:v>8.1499999999999986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8.3500000000000014</c:v>
                </c:pt>
                <c:pt idx="168">
                  <c:v>8.4000000000000021</c:v>
                </c:pt>
                <c:pt idx="169">
                  <c:v>8.4500000000000028</c:v>
                </c:pt>
                <c:pt idx="170">
                  <c:v>8.5000000000000036</c:v>
                </c:pt>
                <c:pt idx="171">
                  <c:v>8.5500000000000043</c:v>
                </c:pt>
                <c:pt idx="172">
                  <c:v>8.600000000000005</c:v>
                </c:pt>
                <c:pt idx="173">
                  <c:v>8.6500000000000057</c:v>
                </c:pt>
                <c:pt idx="174">
                  <c:v>8.7000000000000064</c:v>
                </c:pt>
                <c:pt idx="175">
                  <c:v>8.7500000000000071</c:v>
                </c:pt>
                <c:pt idx="176">
                  <c:v>8.8000000000000078</c:v>
                </c:pt>
                <c:pt idx="177">
                  <c:v>8.8500000000000085</c:v>
                </c:pt>
                <c:pt idx="178">
                  <c:v>8.9000000000000092</c:v>
                </c:pt>
                <c:pt idx="179">
                  <c:v>8.9500000000000099</c:v>
                </c:pt>
                <c:pt idx="180">
                  <c:v>9.0000000000000107</c:v>
                </c:pt>
                <c:pt idx="181">
                  <c:v>9.0500000000000114</c:v>
                </c:pt>
                <c:pt idx="182">
                  <c:v>9.1000000000000121</c:v>
                </c:pt>
                <c:pt idx="183">
                  <c:v>9.1500000000000128</c:v>
                </c:pt>
                <c:pt idx="184">
                  <c:v>9.2000000000000135</c:v>
                </c:pt>
                <c:pt idx="185">
                  <c:v>9.2500000000000142</c:v>
                </c:pt>
                <c:pt idx="186">
                  <c:v>9.3000000000000149</c:v>
                </c:pt>
                <c:pt idx="187">
                  <c:v>9.3500000000000156</c:v>
                </c:pt>
                <c:pt idx="188">
                  <c:v>9.4000000000000163</c:v>
                </c:pt>
                <c:pt idx="189">
                  <c:v>9.4500000000000171</c:v>
                </c:pt>
                <c:pt idx="190">
                  <c:v>9.5000000000000178</c:v>
                </c:pt>
                <c:pt idx="191">
                  <c:v>9.5500000000000185</c:v>
                </c:pt>
                <c:pt idx="192">
                  <c:v>9.6000000000000192</c:v>
                </c:pt>
                <c:pt idx="193">
                  <c:v>9.6500000000000199</c:v>
                </c:pt>
                <c:pt idx="194">
                  <c:v>9.7000000000000206</c:v>
                </c:pt>
                <c:pt idx="195">
                  <c:v>9.7500000000000213</c:v>
                </c:pt>
                <c:pt idx="196">
                  <c:v>9.800000000000022</c:v>
                </c:pt>
                <c:pt idx="197">
                  <c:v>9.8500000000000227</c:v>
                </c:pt>
                <c:pt idx="198">
                  <c:v>9.9000000000000234</c:v>
                </c:pt>
                <c:pt idx="199">
                  <c:v>9.9500000000000242</c:v>
                </c:pt>
                <c:pt idx="200">
                  <c:v>10.000000000000025</c:v>
                </c:pt>
                <c:pt idx="201">
                  <c:v>10.050000000000026</c:v>
                </c:pt>
                <c:pt idx="202">
                  <c:v>10.100000000000026</c:v>
                </c:pt>
                <c:pt idx="203">
                  <c:v>10.150000000000027</c:v>
                </c:pt>
                <c:pt idx="204">
                  <c:v>10.200000000000028</c:v>
                </c:pt>
                <c:pt idx="205">
                  <c:v>10.250000000000028</c:v>
                </c:pt>
                <c:pt idx="206">
                  <c:v>10.300000000000029</c:v>
                </c:pt>
                <c:pt idx="207">
                  <c:v>10.35000000000003</c:v>
                </c:pt>
                <c:pt idx="208">
                  <c:v>10.400000000000031</c:v>
                </c:pt>
                <c:pt idx="209">
                  <c:v>10.450000000000031</c:v>
                </c:pt>
                <c:pt idx="210">
                  <c:v>10.500000000000032</c:v>
                </c:pt>
                <c:pt idx="211">
                  <c:v>10.550000000000033</c:v>
                </c:pt>
                <c:pt idx="212">
                  <c:v>10.600000000000033</c:v>
                </c:pt>
                <c:pt idx="213">
                  <c:v>10.650000000000034</c:v>
                </c:pt>
                <c:pt idx="214">
                  <c:v>10.700000000000035</c:v>
                </c:pt>
                <c:pt idx="215">
                  <c:v>10.750000000000036</c:v>
                </c:pt>
                <c:pt idx="216">
                  <c:v>10.800000000000036</c:v>
                </c:pt>
                <c:pt idx="217">
                  <c:v>10.850000000000037</c:v>
                </c:pt>
                <c:pt idx="218">
                  <c:v>10.900000000000038</c:v>
                </c:pt>
                <c:pt idx="219">
                  <c:v>10.950000000000038</c:v>
                </c:pt>
                <c:pt idx="220">
                  <c:v>11.000000000000039</c:v>
                </c:pt>
                <c:pt idx="221">
                  <c:v>11.05000000000004</c:v>
                </c:pt>
                <c:pt idx="222">
                  <c:v>11.100000000000041</c:v>
                </c:pt>
                <c:pt idx="223">
                  <c:v>11.150000000000041</c:v>
                </c:pt>
                <c:pt idx="224">
                  <c:v>11.200000000000042</c:v>
                </c:pt>
                <c:pt idx="225">
                  <c:v>11.250000000000043</c:v>
                </c:pt>
                <c:pt idx="226">
                  <c:v>11.300000000000043</c:v>
                </c:pt>
                <c:pt idx="227">
                  <c:v>11.350000000000044</c:v>
                </c:pt>
                <c:pt idx="228">
                  <c:v>11.400000000000045</c:v>
                </c:pt>
                <c:pt idx="229">
                  <c:v>11.450000000000045</c:v>
                </c:pt>
                <c:pt idx="230">
                  <c:v>11.500000000000046</c:v>
                </c:pt>
                <c:pt idx="231">
                  <c:v>11.550000000000047</c:v>
                </c:pt>
                <c:pt idx="232">
                  <c:v>11.600000000000048</c:v>
                </c:pt>
                <c:pt idx="233">
                  <c:v>11.650000000000048</c:v>
                </c:pt>
                <c:pt idx="234">
                  <c:v>11.700000000000049</c:v>
                </c:pt>
                <c:pt idx="235">
                  <c:v>11.75000000000005</c:v>
                </c:pt>
                <c:pt idx="236">
                  <c:v>11.80000000000005</c:v>
                </c:pt>
                <c:pt idx="237">
                  <c:v>11.850000000000051</c:v>
                </c:pt>
                <c:pt idx="238">
                  <c:v>11.900000000000052</c:v>
                </c:pt>
                <c:pt idx="239">
                  <c:v>11.950000000000053</c:v>
                </c:pt>
                <c:pt idx="240">
                  <c:v>12.000000000000053</c:v>
                </c:pt>
                <c:pt idx="241">
                  <c:v>12.050000000000054</c:v>
                </c:pt>
                <c:pt idx="242">
                  <c:v>12.100000000000055</c:v>
                </c:pt>
                <c:pt idx="243">
                  <c:v>12.150000000000055</c:v>
                </c:pt>
                <c:pt idx="244">
                  <c:v>12.200000000000056</c:v>
                </c:pt>
                <c:pt idx="245">
                  <c:v>12.250000000000057</c:v>
                </c:pt>
                <c:pt idx="246">
                  <c:v>12.300000000000058</c:v>
                </c:pt>
                <c:pt idx="247">
                  <c:v>12.350000000000058</c:v>
                </c:pt>
                <c:pt idx="248">
                  <c:v>12.400000000000059</c:v>
                </c:pt>
                <c:pt idx="249">
                  <c:v>12.45000000000006</c:v>
                </c:pt>
                <c:pt idx="250">
                  <c:v>12.50000000000006</c:v>
                </c:pt>
                <c:pt idx="251">
                  <c:v>12.550000000000061</c:v>
                </c:pt>
                <c:pt idx="252">
                  <c:v>12.600000000000062</c:v>
                </c:pt>
                <c:pt idx="253">
                  <c:v>12.650000000000063</c:v>
                </c:pt>
                <c:pt idx="254">
                  <c:v>12.700000000000063</c:v>
                </c:pt>
                <c:pt idx="255">
                  <c:v>12.750000000000064</c:v>
                </c:pt>
                <c:pt idx="256">
                  <c:v>12.800000000000065</c:v>
                </c:pt>
                <c:pt idx="257">
                  <c:v>12.850000000000065</c:v>
                </c:pt>
                <c:pt idx="258">
                  <c:v>12.900000000000066</c:v>
                </c:pt>
                <c:pt idx="259">
                  <c:v>12.950000000000067</c:v>
                </c:pt>
                <c:pt idx="260">
                  <c:v>13.000000000000068</c:v>
                </c:pt>
                <c:pt idx="261">
                  <c:v>13.050000000000068</c:v>
                </c:pt>
                <c:pt idx="262">
                  <c:v>13.100000000000069</c:v>
                </c:pt>
                <c:pt idx="263">
                  <c:v>13.15000000000007</c:v>
                </c:pt>
                <c:pt idx="264">
                  <c:v>13.20000000000007</c:v>
                </c:pt>
                <c:pt idx="265">
                  <c:v>13.250000000000071</c:v>
                </c:pt>
                <c:pt idx="266">
                  <c:v>13.300000000000072</c:v>
                </c:pt>
                <c:pt idx="267">
                  <c:v>13.350000000000072</c:v>
                </c:pt>
                <c:pt idx="268">
                  <c:v>13.400000000000073</c:v>
                </c:pt>
                <c:pt idx="269">
                  <c:v>13.450000000000074</c:v>
                </c:pt>
                <c:pt idx="270">
                  <c:v>13.500000000000075</c:v>
                </c:pt>
                <c:pt idx="271">
                  <c:v>13.550000000000075</c:v>
                </c:pt>
                <c:pt idx="272">
                  <c:v>13.600000000000076</c:v>
                </c:pt>
                <c:pt idx="273">
                  <c:v>13.650000000000077</c:v>
                </c:pt>
                <c:pt idx="274">
                  <c:v>13.700000000000077</c:v>
                </c:pt>
                <c:pt idx="275">
                  <c:v>13.750000000000078</c:v>
                </c:pt>
                <c:pt idx="276">
                  <c:v>13.800000000000079</c:v>
                </c:pt>
                <c:pt idx="277">
                  <c:v>13.85000000000008</c:v>
                </c:pt>
                <c:pt idx="278">
                  <c:v>13.90000000000008</c:v>
                </c:pt>
                <c:pt idx="279">
                  <c:v>13.950000000000081</c:v>
                </c:pt>
                <c:pt idx="280">
                  <c:v>14.000000000000082</c:v>
                </c:pt>
                <c:pt idx="281">
                  <c:v>14.050000000000082</c:v>
                </c:pt>
                <c:pt idx="282">
                  <c:v>14.100000000000083</c:v>
                </c:pt>
                <c:pt idx="283">
                  <c:v>14.150000000000084</c:v>
                </c:pt>
                <c:pt idx="284">
                  <c:v>14.200000000000085</c:v>
                </c:pt>
                <c:pt idx="285">
                  <c:v>14.250000000000085</c:v>
                </c:pt>
                <c:pt idx="286">
                  <c:v>14.300000000000086</c:v>
                </c:pt>
                <c:pt idx="287">
                  <c:v>14.350000000000087</c:v>
                </c:pt>
                <c:pt idx="288">
                  <c:v>14.400000000000087</c:v>
                </c:pt>
                <c:pt idx="289">
                  <c:v>14.450000000000088</c:v>
                </c:pt>
                <c:pt idx="290">
                  <c:v>14.500000000000089</c:v>
                </c:pt>
                <c:pt idx="291">
                  <c:v>14.55000000000009</c:v>
                </c:pt>
                <c:pt idx="292">
                  <c:v>14.60000000000009</c:v>
                </c:pt>
                <c:pt idx="293">
                  <c:v>14.650000000000091</c:v>
                </c:pt>
                <c:pt idx="294">
                  <c:v>14.700000000000092</c:v>
                </c:pt>
                <c:pt idx="295">
                  <c:v>14.750000000000092</c:v>
                </c:pt>
                <c:pt idx="296">
                  <c:v>14.800000000000093</c:v>
                </c:pt>
                <c:pt idx="297">
                  <c:v>14.850000000000094</c:v>
                </c:pt>
                <c:pt idx="298">
                  <c:v>14.900000000000095</c:v>
                </c:pt>
                <c:pt idx="299">
                  <c:v>14.950000000000095</c:v>
                </c:pt>
                <c:pt idx="300">
                  <c:v>15.000000000000096</c:v>
                </c:pt>
                <c:pt idx="301">
                  <c:v>15.050000000000097</c:v>
                </c:pt>
                <c:pt idx="302">
                  <c:v>15.100000000000097</c:v>
                </c:pt>
                <c:pt idx="303">
                  <c:v>15.150000000000098</c:v>
                </c:pt>
                <c:pt idx="304">
                  <c:v>15.200000000000099</c:v>
                </c:pt>
                <c:pt idx="305">
                  <c:v>15.250000000000099</c:v>
                </c:pt>
                <c:pt idx="306">
                  <c:v>15.3000000000001</c:v>
                </c:pt>
                <c:pt idx="307">
                  <c:v>15.350000000000101</c:v>
                </c:pt>
                <c:pt idx="308">
                  <c:v>15.400000000000102</c:v>
                </c:pt>
                <c:pt idx="309">
                  <c:v>15.450000000000102</c:v>
                </c:pt>
                <c:pt idx="310">
                  <c:v>15.500000000000103</c:v>
                </c:pt>
                <c:pt idx="311">
                  <c:v>15.550000000000104</c:v>
                </c:pt>
                <c:pt idx="312">
                  <c:v>15.600000000000104</c:v>
                </c:pt>
                <c:pt idx="313">
                  <c:v>15.650000000000105</c:v>
                </c:pt>
                <c:pt idx="314">
                  <c:v>15.700000000000106</c:v>
                </c:pt>
                <c:pt idx="315">
                  <c:v>15.750000000000107</c:v>
                </c:pt>
                <c:pt idx="316">
                  <c:v>15.800000000000107</c:v>
                </c:pt>
                <c:pt idx="317">
                  <c:v>15.850000000000108</c:v>
                </c:pt>
                <c:pt idx="318">
                  <c:v>15.900000000000109</c:v>
                </c:pt>
                <c:pt idx="319">
                  <c:v>15.950000000000109</c:v>
                </c:pt>
                <c:pt idx="320">
                  <c:v>16.00000000000011</c:v>
                </c:pt>
                <c:pt idx="321">
                  <c:v>16.050000000000111</c:v>
                </c:pt>
                <c:pt idx="322">
                  <c:v>16.100000000000112</c:v>
                </c:pt>
                <c:pt idx="323">
                  <c:v>16.150000000000112</c:v>
                </c:pt>
                <c:pt idx="324">
                  <c:v>16.200000000000113</c:v>
                </c:pt>
                <c:pt idx="325">
                  <c:v>16.250000000000114</c:v>
                </c:pt>
                <c:pt idx="326">
                  <c:v>16.300000000000114</c:v>
                </c:pt>
                <c:pt idx="327">
                  <c:v>16.350000000000115</c:v>
                </c:pt>
                <c:pt idx="328">
                  <c:v>16.400000000000116</c:v>
                </c:pt>
                <c:pt idx="329">
                  <c:v>16.450000000000117</c:v>
                </c:pt>
                <c:pt idx="330">
                  <c:v>16.500000000000117</c:v>
                </c:pt>
                <c:pt idx="331">
                  <c:v>16.550000000000118</c:v>
                </c:pt>
                <c:pt idx="332">
                  <c:v>16.600000000000119</c:v>
                </c:pt>
                <c:pt idx="333">
                  <c:v>16.650000000000119</c:v>
                </c:pt>
                <c:pt idx="334">
                  <c:v>16.70000000000012</c:v>
                </c:pt>
                <c:pt idx="335">
                  <c:v>16.750000000000121</c:v>
                </c:pt>
                <c:pt idx="336">
                  <c:v>16.800000000000122</c:v>
                </c:pt>
                <c:pt idx="337">
                  <c:v>16.850000000000122</c:v>
                </c:pt>
                <c:pt idx="338">
                  <c:v>16.900000000000123</c:v>
                </c:pt>
                <c:pt idx="339">
                  <c:v>16.950000000000124</c:v>
                </c:pt>
                <c:pt idx="340">
                  <c:v>17.000000000000124</c:v>
                </c:pt>
                <c:pt idx="341">
                  <c:v>17.050000000000125</c:v>
                </c:pt>
                <c:pt idx="342">
                  <c:v>17.100000000000126</c:v>
                </c:pt>
                <c:pt idx="343">
                  <c:v>17.150000000000126</c:v>
                </c:pt>
                <c:pt idx="344">
                  <c:v>17.200000000000127</c:v>
                </c:pt>
                <c:pt idx="345">
                  <c:v>17.250000000000128</c:v>
                </c:pt>
                <c:pt idx="346">
                  <c:v>17.300000000000129</c:v>
                </c:pt>
                <c:pt idx="347">
                  <c:v>17.350000000000129</c:v>
                </c:pt>
                <c:pt idx="348">
                  <c:v>17.40000000000013</c:v>
                </c:pt>
                <c:pt idx="349">
                  <c:v>17.450000000000131</c:v>
                </c:pt>
                <c:pt idx="350">
                  <c:v>17.500000000000131</c:v>
                </c:pt>
                <c:pt idx="351">
                  <c:v>17.550000000000132</c:v>
                </c:pt>
                <c:pt idx="352">
                  <c:v>17.600000000000133</c:v>
                </c:pt>
              </c:numCache>
            </c:numRef>
          </c:xVal>
          <c:yVal>
            <c:numRef>
              <c:f>'Coriolis Manufact Error'!$E$6:$E$358</c:f>
              <c:numCache>
                <c:formatCode>0.000</c:formatCode>
                <c:ptCount val="353"/>
                <c:pt idx="0">
                  <c:v>2.6944444444444446</c:v>
                </c:pt>
                <c:pt idx="1">
                  <c:v>1.996031746031746</c:v>
                </c:pt>
                <c:pt idx="2">
                  <c:v>1.4722222222222223</c:v>
                </c:pt>
                <c:pt idx="3">
                  <c:v>1.0648148148148149</c:v>
                </c:pt>
                <c:pt idx="4">
                  <c:v>0.86111111111111116</c:v>
                </c:pt>
                <c:pt idx="5">
                  <c:v>0.73888888888888893</c:v>
                </c:pt>
                <c:pt idx="6">
                  <c:v>0.65740740740740744</c:v>
                </c:pt>
                <c:pt idx="7">
                  <c:v>0.5992063492063493</c:v>
                </c:pt>
                <c:pt idx="8">
                  <c:v>0.55555555555555558</c:v>
                </c:pt>
                <c:pt idx="9">
                  <c:v>0.52160493827160503</c:v>
                </c:pt>
                <c:pt idx="10">
                  <c:v>0.49444444444444446</c:v>
                </c:pt>
                <c:pt idx="11">
                  <c:v>0.47222222222222221</c:v>
                </c:pt>
                <c:pt idx="12">
                  <c:v>0.45370370370370372</c:v>
                </c:pt>
                <c:pt idx="13">
                  <c:v>0.43803418803418803</c:v>
                </c:pt>
                <c:pt idx="14">
                  <c:v>0.42460317460317465</c:v>
                </c:pt>
                <c:pt idx="15">
                  <c:v>0.41296296296296298</c:v>
                </c:pt>
                <c:pt idx="16">
                  <c:v>0.40277777777777779</c:v>
                </c:pt>
                <c:pt idx="17">
                  <c:v>0.39379084967320266</c:v>
                </c:pt>
                <c:pt idx="18">
                  <c:v>0.38580246913580252</c:v>
                </c:pt>
                <c:pt idx="19">
                  <c:v>0.37865497076023391</c:v>
                </c:pt>
                <c:pt idx="20">
                  <c:v>0.37222222222222223</c:v>
                </c:pt>
                <c:pt idx="21">
                  <c:v>0.3664021164021164</c:v>
                </c:pt>
                <c:pt idx="22">
                  <c:v>0.3611111111111111</c:v>
                </c:pt>
                <c:pt idx="23">
                  <c:v>0.356280193236715</c:v>
                </c:pt>
                <c:pt idx="24">
                  <c:v>0.35185185185185186</c:v>
                </c:pt>
                <c:pt idx="25">
                  <c:v>0.3477777777777778</c:v>
                </c:pt>
                <c:pt idx="26">
                  <c:v>0.34401709401709402</c:v>
                </c:pt>
                <c:pt idx="27">
                  <c:v>0.34053497942386834</c:v>
                </c:pt>
                <c:pt idx="28">
                  <c:v>0.33730158730158732</c:v>
                </c:pt>
                <c:pt idx="29">
                  <c:v>0.33429118773946365</c:v>
                </c:pt>
                <c:pt idx="30">
                  <c:v>0.33148148148148149</c:v>
                </c:pt>
                <c:pt idx="31">
                  <c:v>0.3288530465949821</c:v>
                </c:pt>
                <c:pt idx="32">
                  <c:v>0.3263888888888889</c:v>
                </c:pt>
                <c:pt idx="33">
                  <c:v>0.32407407407407407</c:v>
                </c:pt>
                <c:pt idx="34">
                  <c:v>0.32189542483660133</c:v>
                </c:pt>
                <c:pt idx="35">
                  <c:v>0.31984126984126982</c:v>
                </c:pt>
                <c:pt idx="36">
                  <c:v>0.31790123456790126</c:v>
                </c:pt>
                <c:pt idx="37">
                  <c:v>0.31606606606606608</c:v>
                </c:pt>
                <c:pt idx="38">
                  <c:v>0.31432748538011696</c:v>
                </c:pt>
                <c:pt idx="39">
                  <c:v>0.3126780626780627</c:v>
                </c:pt>
                <c:pt idx="40">
                  <c:v>0.31111111111111112</c:v>
                </c:pt>
                <c:pt idx="41">
                  <c:v>0.30962059620596205</c:v>
                </c:pt>
                <c:pt idx="42">
                  <c:v>0.3082010582010582</c:v>
                </c:pt>
                <c:pt idx="43">
                  <c:v>0.30684754521963825</c:v>
                </c:pt>
                <c:pt idx="44">
                  <c:v>0.30555555555555558</c:v>
                </c:pt>
                <c:pt idx="45">
                  <c:v>0.30432098765432103</c:v>
                </c:pt>
                <c:pt idx="46">
                  <c:v>0.3031400966183575</c:v>
                </c:pt>
                <c:pt idx="47">
                  <c:v>0.30200945626477543</c:v>
                </c:pt>
                <c:pt idx="48">
                  <c:v>0.30092592592592593</c:v>
                </c:pt>
                <c:pt idx="49">
                  <c:v>0.29988662131519273</c:v>
                </c:pt>
                <c:pt idx="50">
                  <c:v>0.29888888888888887</c:v>
                </c:pt>
                <c:pt idx="51">
                  <c:v>0.2979302832244009</c:v>
                </c:pt>
                <c:pt idx="52">
                  <c:v>0.29700854700854701</c:v>
                </c:pt>
                <c:pt idx="53">
                  <c:v>0.29612159329140464</c:v>
                </c:pt>
                <c:pt idx="54">
                  <c:v>0.29526748971193417</c:v>
                </c:pt>
                <c:pt idx="55">
                  <c:v>0.29444444444444445</c:v>
                </c:pt>
                <c:pt idx="56">
                  <c:v>0.29365079365079366</c:v>
                </c:pt>
                <c:pt idx="57">
                  <c:v>0.2928849902534113</c:v>
                </c:pt>
                <c:pt idx="58">
                  <c:v>0.29214559386973182</c:v>
                </c:pt>
                <c:pt idx="59">
                  <c:v>0.29143126177024481</c:v>
                </c:pt>
                <c:pt idx="60">
                  <c:v>0.29074074074074074</c:v>
                </c:pt>
                <c:pt idx="61">
                  <c:v>0.29007285974499092</c:v>
                </c:pt>
                <c:pt idx="62">
                  <c:v>0.28942652329749102</c:v>
                </c:pt>
                <c:pt idx="63">
                  <c:v>0.28880070546737213</c:v>
                </c:pt>
                <c:pt idx="64">
                  <c:v>0.28819444444444442</c:v>
                </c:pt>
                <c:pt idx="65">
                  <c:v>0.28760683760683758</c:v>
                </c:pt>
                <c:pt idx="66">
                  <c:v>0.28703703703703703</c:v>
                </c:pt>
                <c:pt idx="67">
                  <c:v>0.28648424543946932</c:v>
                </c:pt>
                <c:pt idx="68">
                  <c:v>0.28594771241830064</c:v>
                </c:pt>
                <c:pt idx="69">
                  <c:v>0.28542673107890498</c:v>
                </c:pt>
                <c:pt idx="70">
                  <c:v>0.28492063492063491</c:v>
                </c:pt>
                <c:pt idx="71">
                  <c:v>0.28442879499217527</c:v>
                </c:pt>
                <c:pt idx="72">
                  <c:v>0.2839506172839506</c:v>
                </c:pt>
                <c:pt idx="73">
                  <c:v>0.2834855403348554</c:v>
                </c:pt>
                <c:pt idx="74">
                  <c:v>0.28303303303303307</c:v>
                </c:pt>
                <c:pt idx="75">
                  <c:v>0.28259259259259262</c:v>
                </c:pt>
                <c:pt idx="76">
                  <c:v>0.28216374269005851</c:v>
                </c:pt>
                <c:pt idx="77">
                  <c:v>0.28174603174603174</c:v>
                </c:pt>
                <c:pt idx="78">
                  <c:v>0.28133903133903138</c:v>
                </c:pt>
                <c:pt idx="79">
                  <c:v>0.28094233473980312</c:v>
                </c:pt>
                <c:pt idx="80">
                  <c:v>0.28055555555555556</c:v>
                </c:pt>
                <c:pt idx="81">
                  <c:v>0.28017832647462276</c:v>
                </c:pt>
                <c:pt idx="82">
                  <c:v>0.27981029810298103</c:v>
                </c:pt>
                <c:pt idx="83">
                  <c:v>0.2794511378848728</c:v>
                </c:pt>
                <c:pt idx="84">
                  <c:v>0.27910052910052913</c:v>
                </c:pt>
                <c:pt idx="85">
                  <c:v>0.27875816993464053</c:v>
                </c:pt>
                <c:pt idx="86">
                  <c:v>0.27842377260981915</c:v>
                </c:pt>
                <c:pt idx="87">
                  <c:v>0.2780970625798212</c:v>
                </c:pt>
                <c:pt idx="88">
                  <c:v>0.27777777777777779</c:v>
                </c:pt>
                <c:pt idx="89">
                  <c:v>0.27746566791510613</c:v>
                </c:pt>
                <c:pt idx="90">
                  <c:v>0.27716049382716051</c:v>
                </c:pt>
                <c:pt idx="91">
                  <c:v>0.27686202686202688</c:v>
                </c:pt>
                <c:pt idx="92">
                  <c:v>0.27657004830917875</c:v>
                </c:pt>
                <c:pt idx="93">
                  <c:v>0.27628434886499403</c:v>
                </c:pt>
                <c:pt idx="94">
                  <c:v>0.27600472813238769</c:v>
                </c:pt>
                <c:pt idx="95">
                  <c:v>0.27573099415204677</c:v>
                </c:pt>
                <c:pt idx="96">
                  <c:v>0.27546296296296297</c:v>
                </c:pt>
                <c:pt idx="97">
                  <c:v>0.27520045819014893</c:v>
                </c:pt>
                <c:pt idx="98">
                  <c:v>0.27494331065759636</c:v>
                </c:pt>
                <c:pt idx="99">
                  <c:v>0.27469135802469136</c:v>
                </c:pt>
                <c:pt idx="100">
                  <c:v>0.27444444444444444</c:v>
                </c:pt>
                <c:pt idx="101">
                  <c:v>0.27420242024202424</c:v>
                </c:pt>
                <c:pt idx="102">
                  <c:v>0.27396514161220042</c:v>
                </c:pt>
                <c:pt idx="103">
                  <c:v>0.27373247033441206</c:v>
                </c:pt>
                <c:pt idx="104">
                  <c:v>0.27350427350427353</c:v>
                </c:pt>
                <c:pt idx="105">
                  <c:v>0.27328042328042329</c:v>
                </c:pt>
                <c:pt idx="106">
                  <c:v>0.27306079664570232</c:v>
                </c:pt>
                <c:pt idx="107">
                  <c:v>0.2728452751817238</c:v>
                </c:pt>
                <c:pt idx="108">
                  <c:v>0.27263374485596709</c:v>
                </c:pt>
                <c:pt idx="109">
                  <c:v>0.27242609582059124</c:v>
                </c:pt>
                <c:pt idx="110">
                  <c:v>0.27222222222222225</c:v>
                </c:pt>
                <c:pt idx="111">
                  <c:v>0.27202202202202203</c:v>
                </c:pt>
                <c:pt idx="112">
                  <c:v>0.27182539682539686</c:v>
                </c:pt>
                <c:pt idx="113">
                  <c:v>0.27163225172074729</c:v>
                </c:pt>
                <c:pt idx="114">
                  <c:v>0.27144249512670565</c:v>
                </c:pt>
                <c:pt idx="115">
                  <c:v>0.27125603864734299</c:v>
                </c:pt>
                <c:pt idx="116">
                  <c:v>0.27107279693486591</c:v>
                </c:pt>
                <c:pt idx="117">
                  <c:v>0.27089268755935425</c:v>
                </c:pt>
                <c:pt idx="118">
                  <c:v>0.2707156308851224</c:v>
                </c:pt>
                <c:pt idx="119">
                  <c:v>0.27054154995331464</c:v>
                </c:pt>
                <c:pt idx="120">
                  <c:v>0.27037037037037037</c:v>
                </c:pt>
                <c:pt idx="121">
                  <c:v>0.27020202020202022</c:v>
                </c:pt>
                <c:pt idx="122">
                  <c:v>0.27003642987249543</c:v>
                </c:pt>
                <c:pt idx="123">
                  <c:v>0.269873532068654</c:v>
                </c:pt>
                <c:pt idx="124">
                  <c:v>0.26971326164874554</c:v>
                </c:pt>
                <c:pt idx="125">
                  <c:v>0.26955555555555555</c:v>
                </c:pt>
                <c:pt idx="126">
                  <c:v>0.26940035273368607</c:v>
                </c:pt>
                <c:pt idx="127">
                  <c:v>0.26924759405074367</c:v>
                </c:pt>
                <c:pt idx="128">
                  <c:v>0.26909722222222221</c:v>
                </c:pt>
                <c:pt idx="129">
                  <c:v>0.26894918173987942</c:v>
                </c:pt>
                <c:pt idx="130">
                  <c:v>0.26880341880341879</c:v>
                </c:pt>
                <c:pt idx="131">
                  <c:v>0.2686598812553011</c:v>
                </c:pt>
                <c:pt idx="132">
                  <c:v>0.26851851851851855</c:v>
                </c:pt>
                <c:pt idx="133">
                  <c:v>0.26837928153717627</c:v>
                </c:pt>
                <c:pt idx="134">
                  <c:v>0.26824212271973469</c:v>
                </c:pt>
                <c:pt idx="135">
                  <c:v>0.26810699588477366</c:v>
                </c:pt>
                <c:pt idx="136">
                  <c:v>0.26797385620915032</c:v>
                </c:pt>
                <c:pt idx="137">
                  <c:v>0.26784266017842662</c:v>
                </c:pt>
                <c:pt idx="138">
                  <c:v>0.26771336553945252</c:v>
                </c:pt>
                <c:pt idx="139">
                  <c:v>0.26758593125499602</c:v>
                </c:pt>
                <c:pt idx="140">
                  <c:v>0.26746031746031745</c:v>
                </c:pt>
                <c:pt idx="141">
                  <c:v>0.26733648542159183</c:v>
                </c:pt>
                <c:pt idx="142">
                  <c:v>0.26721439749608766</c:v>
                </c:pt>
                <c:pt idx="143">
                  <c:v>0.26709401709401709</c:v>
                </c:pt>
                <c:pt idx="144">
                  <c:v>0.26697530864197533</c:v>
                </c:pt>
                <c:pt idx="145">
                  <c:v>0.26685823754789273</c:v>
                </c:pt>
                <c:pt idx="146">
                  <c:v>0.2667427701674277</c:v>
                </c:pt>
                <c:pt idx="147">
                  <c:v>0.26662887377173095</c:v>
                </c:pt>
                <c:pt idx="148">
                  <c:v>0.26651651651651653</c:v>
                </c:pt>
                <c:pt idx="149">
                  <c:v>0.26640566741237881</c:v>
                </c:pt>
                <c:pt idx="150">
                  <c:v>0.26629629629629631</c:v>
                </c:pt>
                <c:pt idx="151">
                  <c:v>0.26618837380426785</c:v>
                </c:pt>
                <c:pt idx="152">
                  <c:v>0.26608187134502925</c:v>
                </c:pt>
                <c:pt idx="153">
                  <c:v>0.26597676107480028</c:v>
                </c:pt>
                <c:pt idx="154">
                  <c:v>0.26587301587301587</c:v>
                </c:pt>
                <c:pt idx="155">
                  <c:v>0.26577060931899643</c:v>
                </c:pt>
                <c:pt idx="156">
                  <c:v>0.26566951566951569</c:v>
                </c:pt>
                <c:pt idx="157">
                  <c:v>0.26556970983722578</c:v>
                </c:pt>
                <c:pt idx="158">
                  <c:v>0.26547116736990156</c:v>
                </c:pt>
                <c:pt idx="159">
                  <c:v>0.26537386443046823</c:v>
                </c:pt>
                <c:pt idx="160">
                  <c:v>0.26527777777777778</c:v>
                </c:pt>
                <c:pt idx="161">
                  <c:v>0.26518288474810214</c:v>
                </c:pt>
                <c:pt idx="162">
                  <c:v>0.26508916323731141</c:v>
                </c:pt>
                <c:pt idx="163">
                  <c:v>0.26499659168370826</c:v>
                </c:pt>
                <c:pt idx="164">
                  <c:v>0.26490514905149054</c:v>
                </c:pt>
                <c:pt idx="165">
                  <c:v>0.26481481481481484</c:v>
                </c:pt>
                <c:pt idx="166">
                  <c:v>0.26472556894243643</c:v>
                </c:pt>
                <c:pt idx="167">
                  <c:v>0.26463739188290086</c:v>
                </c:pt>
                <c:pt idx="168">
                  <c:v>0.26455026455026454</c:v>
                </c:pt>
                <c:pt idx="169">
                  <c:v>0.26446416831032216</c:v>
                </c:pt>
                <c:pt idx="170">
                  <c:v>0.26437908496732027</c:v>
                </c:pt>
                <c:pt idx="171">
                  <c:v>0.2642949967511371</c:v>
                </c:pt>
                <c:pt idx="172">
                  <c:v>0.26421188630490955</c:v>
                </c:pt>
                <c:pt idx="173">
                  <c:v>0.26412973667308925</c:v>
                </c:pt>
                <c:pt idx="174">
                  <c:v>0.26404853128991057</c:v>
                </c:pt>
                <c:pt idx="175">
                  <c:v>0.26396825396825396</c:v>
                </c:pt>
                <c:pt idx="176">
                  <c:v>0.2638888888888889</c:v>
                </c:pt>
                <c:pt idx="177">
                  <c:v>0.26381042059008158</c:v>
                </c:pt>
                <c:pt idx="178">
                  <c:v>0.26373283395755304</c:v>
                </c:pt>
                <c:pt idx="179">
                  <c:v>0.26365611421477342</c:v>
                </c:pt>
                <c:pt idx="180">
                  <c:v>0.26358024691358023</c:v>
                </c:pt>
                <c:pt idx="181">
                  <c:v>0.26350521792510739</c:v>
                </c:pt>
                <c:pt idx="182">
                  <c:v>0.26343101343101344</c:v>
                </c:pt>
                <c:pt idx="183">
                  <c:v>0.26335761991499695</c:v>
                </c:pt>
                <c:pt idx="184">
                  <c:v>0.26328502415458938</c:v>
                </c:pt>
                <c:pt idx="185">
                  <c:v>0.26321321321321317</c:v>
                </c:pt>
                <c:pt idx="186">
                  <c:v>0.26314217443249699</c:v>
                </c:pt>
                <c:pt idx="187">
                  <c:v>0.26307189542483655</c:v>
                </c:pt>
                <c:pt idx="188">
                  <c:v>0.26300236406619382</c:v>
                </c:pt>
                <c:pt idx="189">
                  <c:v>0.26293356848912403</c:v>
                </c:pt>
                <c:pt idx="190">
                  <c:v>0.26286549707602336</c:v>
                </c:pt>
                <c:pt idx="191">
                  <c:v>0.2627981384525887</c:v>
                </c:pt>
                <c:pt idx="192">
                  <c:v>0.26273148148148145</c:v>
                </c:pt>
                <c:pt idx="193">
                  <c:v>0.26266551525618881</c:v>
                </c:pt>
                <c:pt idx="194">
                  <c:v>0.26260022909507441</c:v>
                </c:pt>
                <c:pt idx="195">
                  <c:v>0.26253561253561253</c:v>
                </c:pt>
                <c:pt idx="196">
                  <c:v>0.26247165532879818</c:v>
                </c:pt>
                <c:pt idx="197">
                  <c:v>0.2624083474337281</c:v>
                </c:pt>
                <c:pt idx="198">
                  <c:v>0.26234567901234568</c:v>
                </c:pt>
                <c:pt idx="199">
                  <c:v>0.26228364042434393</c:v>
                </c:pt>
                <c:pt idx="200">
                  <c:v>0.26222222222222219</c:v>
                </c:pt>
                <c:pt idx="201">
                  <c:v>0.26216141514648972</c:v>
                </c:pt>
                <c:pt idx="202">
                  <c:v>0.26210121012101206</c:v>
                </c:pt>
                <c:pt idx="203">
                  <c:v>0.26204159824849477</c:v>
                </c:pt>
                <c:pt idx="204">
                  <c:v>0.26198257080610021</c:v>
                </c:pt>
                <c:pt idx="205">
                  <c:v>0.26192411924119235</c:v>
                </c:pt>
                <c:pt idx="206">
                  <c:v>0.26186623516720603</c:v>
                </c:pt>
                <c:pt idx="207">
                  <c:v>0.26180891035963494</c:v>
                </c:pt>
                <c:pt idx="208">
                  <c:v>0.26175213675213671</c:v>
                </c:pt>
                <c:pt idx="209">
                  <c:v>0.26169590643274848</c:v>
                </c:pt>
                <c:pt idx="210">
                  <c:v>0.26164021164021162</c:v>
                </c:pt>
                <c:pt idx="211">
                  <c:v>0.26158504476040018</c:v>
                </c:pt>
                <c:pt idx="212">
                  <c:v>0.26153039832285113</c:v>
                </c:pt>
                <c:pt idx="213">
                  <c:v>0.26147626499739174</c:v>
                </c:pt>
                <c:pt idx="214">
                  <c:v>0.26142263759086187</c:v>
                </c:pt>
                <c:pt idx="215">
                  <c:v>0.26136950904392764</c:v>
                </c:pt>
                <c:pt idx="216">
                  <c:v>0.26131687242798352</c:v>
                </c:pt>
                <c:pt idx="217">
                  <c:v>0.26126472094214026</c:v>
                </c:pt>
                <c:pt idx="218">
                  <c:v>0.26121304791029559</c:v>
                </c:pt>
                <c:pt idx="219">
                  <c:v>0.26116184677828508</c:v>
                </c:pt>
                <c:pt idx="220">
                  <c:v>0.26111111111111107</c:v>
                </c:pt>
                <c:pt idx="221">
                  <c:v>0.26106083459024632</c:v>
                </c:pt>
                <c:pt idx="222">
                  <c:v>0.26101101101101098</c:v>
                </c:pt>
                <c:pt idx="223">
                  <c:v>0.26096163428001989</c:v>
                </c:pt>
                <c:pt idx="224">
                  <c:v>0.26091269841269837</c:v>
                </c:pt>
                <c:pt idx="225">
                  <c:v>0.26086419753086415</c:v>
                </c:pt>
                <c:pt idx="226">
                  <c:v>0.26081612586037362</c:v>
                </c:pt>
                <c:pt idx="227">
                  <c:v>0.26076847772883011</c:v>
                </c:pt>
                <c:pt idx="228">
                  <c:v>0.2607212475633528</c:v>
                </c:pt>
                <c:pt idx="229">
                  <c:v>0.26067442988840367</c:v>
                </c:pt>
                <c:pt idx="230">
                  <c:v>0.26062801932367147</c:v>
                </c:pt>
                <c:pt idx="231">
                  <c:v>0.26058201058201053</c:v>
                </c:pt>
                <c:pt idx="232">
                  <c:v>0.26053639846743293</c:v>
                </c:pt>
                <c:pt idx="233">
                  <c:v>0.26049117787315207</c:v>
                </c:pt>
                <c:pt idx="234">
                  <c:v>0.26044634377967707</c:v>
                </c:pt>
                <c:pt idx="235">
                  <c:v>0.26040189125295504</c:v>
                </c:pt>
                <c:pt idx="236">
                  <c:v>0.26035781544256115</c:v>
                </c:pt>
                <c:pt idx="237">
                  <c:v>0.26031411157993434</c:v>
                </c:pt>
                <c:pt idx="238">
                  <c:v>0.26027077497665729</c:v>
                </c:pt>
                <c:pt idx="239">
                  <c:v>0.26022780102278004</c:v>
                </c:pt>
                <c:pt idx="240">
                  <c:v>0.26018518518518513</c:v>
                </c:pt>
                <c:pt idx="241">
                  <c:v>0.26014292300599351</c:v>
                </c:pt>
                <c:pt idx="242">
                  <c:v>0.26010101010101006</c:v>
                </c:pt>
                <c:pt idx="243">
                  <c:v>0.26005944215820753</c:v>
                </c:pt>
                <c:pt idx="244">
                  <c:v>0.26001821493624766</c:v>
                </c:pt>
                <c:pt idx="245">
                  <c:v>0.25997732426303849</c:v>
                </c:pt>
                <c:pt idx="246">
                  <c:v>0.25993676603432697</c:v>
                </c:pt>
                <c:pt idx="247">
                  <c:v>0.25989653621232567</c:v>
                </c:pt>
                <c:pt idx="248">
                  <c:v>0.25985663082437271</c:v>
                </c:pt>
                <c:pt idx="249">
                  <c:v>0.25981704596162425</c:v>
                </c:pt>
                <c:pt idx="250">
                  <c:v>0.25977777777777772</c:v>
                </c:pt>
                <c:pt idx="251">
                  <c:v>0.25973882248782643</c:v>
                </c:pt>
                <c:pt idx="252">
                  <c:v>0.25970017636684301</c:v>
                </c:pt>
                <c:pt idx="253">
                  <c:v>0.2596618357487922</c:v>
                </c:pt>
                <c:pt idx="254">
                  <c:v>0.25962379702537181</c:v>
                </c:pt>
                <c:pt idx="255">
                  <c:v>0.2595860566448801</c:v>
                </c:pt>
                <c:pt idx="256">
                  <c:v>0.25954861111111105</c:v>
                </c:pt>
                <c:pt idx="257">
                  <c:v>0.25951145698227407</c:v>
                </c:pt>
                <c:pt idx="258">
                  <c:v>0.25947459086993968</c:v>
                </c:pt>
                <c:pt idx="259">
                  <c:v>0.25943800943800938</c:v>
                </c:pt>
                <c:pt idx="260">
                  <c:v>0.25940170940170937</c:v>
                </c:pt>
                <c:pt idx="261">
                  <c:v>0.25936568752660705</c:v>
                </c:pt>
                <c:pt idx="262">
                  <c:v>0.25932994062765052</c:v>
                </c:pt>
                <c:pt idx="263">
                  <c:v>0.25929446556822977</c:v>
                </c:pt>
                <c:pt idx="264">
                  <c:v>0.25925925925925919</c:v>
                </c:pt>
                <c:pt idx="265">
                  <c:v>0.25922431865828088</c:v>
                </c:pt>
                <c:pt idx="266">
                  <c:v>0.25918964076858808</c:v>
                </c:pt>
                <c:pt idx="267">
                  <c:v>0.25915522263836865</c:v>
                </c:pt>
                <c:pt idx="268">
                  <c:v>0.25912106135986729</c:v>
                </c:pt>
                <c:pt idx="269">
                  <c:v>0.25908715406856664</c:v>
                </c:pt>
                <c:pt idx="270">
                  <c:v>0.2590534979423868</c:v>
                </c:pt>
                <c:pt idx="271">
                  <c:v>0.25902009020090194</c:v>
                </c:pt>
                <c:pt idx="272">
                  <c:v>0.25898692810457513</c:v>
                </c:pt>
                <c:pt idx="273">
                  <c:v>0.25895400895400889</c:v>
                </c:pt>
                <c:pt idx="274">
                  <c:v>0.25892133008921325</c:v>
                </c:pt>
                <c:pt idx="275">
                  <c:v>0.25888888888888884</c:v>
                </c:pt>
                <c:pt idx="276">
                  <c:v>0.25885668276972618</c:v>
                </c:pt>
                <c:pt idx="277">
                  <c:v>0.25882470918571998</c:v>
                </c:pt>
                <c:pt idx="278">
                  <c:v>0.25879296562749793</c:v>
                </c:pt>
                <c:pt idx="279">
                  <c:v>0.25876144962166464</c:v>
                </c:pt>
                <c:pt idx="280">
                  <c:v>0.2587301587301587</c:v>
                </c:pt>
                <c:pt idx="281">
                  <c:v>0.25869909054962431</c:v>
                </c:pt>
                <c:pt idx="282">
                  <c:v>0.25866824271079586</c:v>
                </c:pt>
                <c:pt idx="283">
                  <c:v>0.2586376128778955</c:v>
                </c:pt>
                <c:pt idx="284">
                  <c:v>0.25860719874804378</c:v>
                </c:pt>
                <c:pt idx="285">
                  <c:v>0.25857699805068224</c:v>
                </c:pt>
                <c:pt idx="286">
                  <c:v>0.25854700854700852</c:v>
                </c:pt>
                <c:pt idx="287">
                  <c:v>0.25851722802942312</c:v>
                </c:pt>
                <c:pt idx="288">
                  <c:v>0.25848765432098758</c:v>
                </c:pt>
                <c:pt idx="289">
                  <c:v>0.25845828527489423</c:v>
                </c:pt>
                <c:pt idx="290">
                  <c:v>0.25842911877394631</c:v>
                </c:pt>
                <c:pt idx="291">
                  <c:v>0.25840015273004957</c:v>
                </c:pt>
                <c:pt idx="292">
                  <c:v>0.25837138508371382</c:v>
                </c:pt>
                <c:pt idx="293">
                  <c:v>0.25834281380356461</c:v>
                </c:pt>
                <c:pt idx="294">
                  <c:v>0.25831443688586542</c:v>
                </c:pt>
                <c:pt idx="295">
                  <c:v>0.2582862523540489</c:v>
                </c:pt>
                <c:pt idx="296">
                  <c:v>0.25825825825825821</c:v>
                </c:pt>
                <c:pt idx="297">
                  <c:v>0.25823045267489708</c:v>
                </c:pt>
                <c:pt idx="298">
                  <c:v>0.25820283370618935</c:v>
                </c:pt>
                <c:pt idx="299">
                  <c:v>0.25817539947974727</c:v>
                </c:pt>
                <c:pt idx="300">
                  <c:v>0.25814814814814807</c:v>
                </c:pt>
                <c:pt idx="301">
                  <c:v>0.25812107788851968</c:v>
                </c:pt>
                <c:pt idx="302">
                  <c:v>0.25809418690213387</c:v>
                </c:pt>
                <c:pt idx="303">
                  <c:v>0.25806747341400804</c:v>
                </c:pt>
                <c:pt idx="304">
                  <c:v>0.25804093567251457</c:v>
                </c:pt>
                <c:pt idx="305">
                  <c:v>0.25801457194899813</c:v>
                </c:pt>
                <c:pt idx="306">
                  <c:v>0.25798838053740009</c:v>
                </c:pt>
                <c:pt idx="307">
                  <c:v>0.25796235975389065</c:v>
                </c:pt>
                <c:pt idx="308">
                  <c:v>0.25793650793650791</c:v>
                </c:pt>
                <c:pt idx="309">
                  <c:v>0.25791082344480398</c:v>
                </c:pt>
                <c:pt idx="310">
                  <c:v>0.25788530465949816</c:v>
                </c:pt>
                <c:pt idx="311">
                  <c:v>0.2578599499821364</c:v>
                </c:pt>
                <c:pt idx="312">
                  <c:v>0.25783475783475779</c:v>
                </c:pt>
                <c:pt idx="313">
                  <c:v>0.25780972665956686</c:v>
                </c:pt>
                <c:pt idx="314">
                  <c:v>0.2577848549186128</c:v>
                </c:pt>
                <c:pt idx="315">
                  <c:v>0.25776014109347439</c:v>
                </c:pt>
                <c:pt idx="316">
                  <c:v>0.2577355836849507</c:v>
                </c:pt>
                <c:pt idx="317">
                  <c:v>0.25771118121275843</c:v>
                </c:pt>
                <c:pt idx="318">
                  <c:v>0.25768693221523403</c:v>
                </c:pt>
                <c:pt idx="319">
                  <c:v>0.2576628352490421</c:v>
                </c:pt>
                <c:pt idx="320">
                  <c:v>0.25763888888888886</c:v>
                </c:pt>
                <c:pt idx="321">
                  <c:v>0.25761509172724123</c:v>
                </c:pt>
                <c:pt idx="322">
                  <c:v>0.25759144237405102</c:v>
                </c:pt>
                <c:pt idx="323">
                  <c:v>0.25756793945648432</c:v>
                </c:pt>
                <c:pt idx="324">
                  <c:v>0.25754458161865562</c:v>
                </c:pt>
                <c:pt idx="325">
                  <c:v>0.25752136752136745</c:v>
                </c:pt>
                <c:pt idx="326">
                  <c:v>0.25749829584185407</c:v>
                </c:pt>
                <c:pt idx="327">
                  <c:v>0.25747536527353038</c:v>
                </c:pt>
                <c:pt idx="328">
                  <c:v>0.25745257452574521</c:v>
                </c:pt>
                <c:pt idx="329">
                  <c:v>0.25742992232353928</c:v>
                </c:pt>
                <c:pt idx="330">
                  <c:v>0.25740740740740736</c:v>
                </c:pt>
                <c:pt idx="331">
                  <c:v>0.25738502853306472</c:v>
                </c:pt>
                <c:pt idx="332">
                  <c:v>0.25736278447121813</c:v>
                </c:pt>
                <c:pt idx="333">
                  <c:v>0.25734067400734062</c:v>
                </c:pt>
                <c:pt idx="334">
                  <c:v>0.2573186959414504</c:v>
                </c:pt>
                <c:pt idx="335">
                  <c:v>0.2572968490878938</c:v>
                </c:pt>
                <c:pt idx="336">
                  <c:v>0.25727513227513221</c:v>
                </c:pt>
                <c:pt idx="337">
                  <c:v>0.25725354434553244</c:v>
                </c:pt>
                <c:pt idx="338">
                  <c:v>0.25723208415516102</c:v>
                </c:pt>
                <c:pt idx="339">
                  <c:v>0.25721075057358239</c:v>
                </c:pt>
                <c:pt idx="340">
                  <c:v>0.25718954248366011</c:v>
                </c:pt>
                <c:pt idx="341">
                  <c:v>0.25716845878136196</c:v>
                </c:pt>
                <c:pt idx="342">
                  <c:v>0.2571474983755685</c:v>
                </c:pt>
                <c:pt idx="343">
                  <c:v>0.2571266601878846</c:v>
                </c:pt>
                <c:pt idx="344">
                  <c:v>0.25710594315245472</c:v>
                </c:pt>
                <c:pt idx="345">
                  <c:v>0.25708534621578094</c:v>
                </c:pt>
                <c:pt idx="346">
                  <c:v>0.25706486833654457</c:v>
                </c:pt>
                <c:pt idx="347">
                  <c:v>0.25704450848543065</c:v>
                </c:pt>
                <c:pt idx="348">
                  <c:v>0.25702426564495523</c:v>
                </c:pt>
                <c:pt idx="349">
                  <c:v>0.25700413880929635</c:v>
                </c:pt>
                <c:pt idx="350">
                  <c:v>0.25698412698412693</c:v>
                </c:pt>
                <c:pt idx="351">
                  <c:v>0.25696422918645134</c:v>
                </c:pt>
                <c:pt idx="352">
                  <c:v>0.25694444444444442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81-48B0-BC62-CF5F83AF671F}"/>
            </c:ext>
          </c:extLst>
        </c:ser>
        <c:ser>
          <c:idx val="9"/>
          <c:order val="19"/>
          <c:tx>
            <c:v>Specs</c:v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'Coriolis Manufact Error'!$B$6:$B$358</c:f>
              <c:numCache>
                <c:formatCode>General</c:formatCode>
                <c:ptCount val="353"/>
                <c:pt idx="0">
                  <c:v>0.05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7.3999999999999995</c:v>
                </c:pt>
                <c:pt idx="149">
                  <c:v>7.4499999999999993</c:v>
                </c:pt>
                <c:pt idx="150">
                  <c:v>7.4999999999999991</c:v>
                </c:pt>
                <c:pt idx="151">
                  <c:v>7.5499999999999989</c:v>
                </c:pt>
                <c:pt idx="152">
                  <c:v>7.5999999999999988</c:v>
                </c:pt>
                <c:pt idx="153">
                  <c:v>7.6499999999999986</c:v>
                </c:pt>
                <c:pt idx="154">
                  <c:v>7.6999999999999984</c:v>
                </c:pt>
                <c:pt idx="155">
                  <c:v>7.7499999999999982</c:v>
                </c:pt>
                <c:pt idx="156">
                  <c:v>7.799999999999998</c:v>
                </c:pt>
                <c:pt idx="157">
                  <c:v>7.8499999999999979</c:v>
                </c:pt>
                <c:pt idx="158">
                  <c:v>7.8999999999999977</c:v>
                </c:pt>
                <c:pt idx="159">
                  <c:v>7.9499999999999975</c:v>
                </c:pt>
                <c:pt idx="160">
                  <c:v>7.9999999999999973</c:v>
                </c:pt>
                <c:pt idx="161">
                  <c:v>8.0499999999999972</c:v>
                </c:pt>
                <c:pt idx="162">
                  <c:v>8.0999999999999979</c:v>
                </c:pt>
                <c:pt idx="163">
                  <c:v>8.1499999999999986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8.3500000000000014</c:v>
                </c:pt>
                <c:pt idx="168">
                  <c:v>8.4000000000000021</c:v>
                </c:pt>
                <c:pt idx="169">
                  <c:v>8.4500000000000028</c:v>
                </c:pt>
                <c:pt idx="170">
                  <c:v>8.5000000000000036</c:v>
                </c:pt>
                <c:pt idx="171">
                  <c:v>8.5500000000000043</c:v>
                </c:pt>
                <c:pt idx="172">
                  <c:v>8.600000000000005</c:v>
                </c:pt>
                <c:pt idx="173">
                  <c:v>8.6500000000000057</c:v>
                </c:pt>
                <c:pt idx="174">
                  <c:v>8.7000000000000064</c:v>
                </c:pt>
                <c:pt idx="175">
                  <c:v>8.7500000000000071</c:v>
                </c:pt>
                <c:pt idx="176">
                  <c:v>8.8000000000000078</c:v>
                </c:pt>
                <c:pt idx="177">
                  <c:v>8.8500000000000085</c:v>
                </c:pt>
                <c:pt idx="178">
                  <c:v>8.9000000000000092</c:v>
                </c:pt>
                <c:pt idx="179">
                  <c:v>8.9500000000000099</c:v>
                </c:pt>
                <c:pt idx="180">
                  <c:v>9.0000000000000107</c:v>
                </c:pt>
                <c:pt idx="181">
                  <c:v>9.0500000000000114</c:v>
                </c:pt>
                <c:pt idx="182">
                  <c:v>9.1000000000000121</c:v>
                </c:pt>
                <c:pt idx="183">
                  <c:v>9.1500000000000128</c:v>
                </c:pt>
                <c:pt idx="184">
                  <c:v>9.2000000000000135</c:v>
                </c:pt>
                <c:pt idx="185">
                  <c:v>9.2500000000000142</c:v>
                </c:pt>
                <c:pt idx="186">
                  <c:v>9.3000000000000149</c:v>
                </c:pt>
                <c:pt idx="187">
                  <c:v>9.3500000000000156</c:v>
                </c:pt>
                <c:pt idx="188">
                  <c:v>9.4000000000000163</c:v>
                </c:pt>
                <c:pt idx="189">
                  <c:v>9.4500000000000171</c:v>
                </c:pt>
                <c:pt idx="190">
                  <c:v>9.5000000000000178</c:v>
                </c:pt>
                <c:pt idx="191">
                  <c:v>9.5500000000000185</c:v>
                </c:pt>
                <c:pt idx="192">
                  <c:v>9.6000000000000192</c:v>
                </c:pt>
                <c:pt idx="193">
                  <c:v>9.6500000000000199</c:v>
                </c:pt>
                <c:pt idx="194">
                  <c:v>9.7000000000000206</c:v>
                </c:pt>
                <c:pt idx="195">
                  <c:v>9.7500000000000213</c:v>
                </c:pt>
                <c:pt idx="196">
                  <c:v>9.800000000000022</c:v>
                </c:pt>
                <c:pt idx="197">
                  <c:v>9.8500000000000227</c:v>
                </c:pt>
                <c:pt idx="198">
                  <c:v>9.9000000000000234</c:v>
                </c:pt>
                <c:pt idx="199">
                  <c:v>9.9500000000000242</c:v>
                </c:pt>
                <c:pt idx="200">
                  <c:v>10.000000000000025</c:v>
                </c:pt>
                <c:pt idx="201">
                  <c:v>10.050000000000026</c:v>
                </c:pt>
                <c:pt idx="202">
                  <c:v>10.100000000000026</c:v>
                </c:pt>
                <c:pt idx="203">
                  <c:v>10.150000000000027</c:v>
                </c:pt>
                <c:pt idx="204">
                  <c:v>10.200000000000028</c:v>
                </c:pt>
                <c:pt idx="205">
                  <c:v>10.250000000000028</c:v>
                </c:pt>
                <c:pt idx="206">
                  <c:v>10.300000000000029</c:v>
                </c:pt>
                <c:pt idx="207">
                  <c:v>10.35000000000003</c:v>
                </c:pt>
                <c:pt idx="208">
                  <c:v>10.400000000000031</c:v>
                </c:pt>
                <c:pt idx="209">
                  <c:v>10.450000000000031</c:v>
                </c:pt>
                <c:pt idx="210">
                  <c:v>10.500000000000032</c:v>
                </c:pt>
                <c:pt idx="211">
                  <c:v>10.550000000000033</c:v>
                </c:pt>
                <c:pt idx="212">
                  <c:v>10.600000000000033</c:v>
                </c:pt>
                <c:pt idx="213">
                  <c:v>10.650000000000034</c:v>
                </c:pt>
                <c:pt idx="214">
                  <c:v>10.700000000000035</c:v>
                </c:pt>
                <c:pt idx="215">
                  <c:v>10.750000000000036</c:v>
                </c:pt>
                <c:pt idx="216">
                  <c:v>10.800000000000036</c:v>
                </c:pt>
                <c:pt idx="217">
                  <c:v>10.850000000000037</c:v>
                </c:pt>
                <c:pt idx="218">
                  <c:v>10.900000000000038</c:v>
                </c:pt>
                <c:pt idx="219">
                  <c:v>10.950000000000038</c:v>
                </c:pt>
                <c:pt idx="220">
                  <c:v>11.000000000000039</c:v>
                </c:pt>
                <c:pt idx="221">
                  <c:v>11.05000000000004</c:v>
                </c:pt>
                <c:pt idx="222">
                  <c:v>11.100000000000041</c:v>
                </c:pt>
                <c:pt idx="223">
                  <c:v>11.150000000000041</c:v>
                </c:pt>
                <c:pt idx="224">
                  <c:v>11.200000000000042</c:v>
                </c:pt>
                <c:pt idx="225">
                  <c:v>11.250000000000043</c:v>
                </c:pt>
                <c:pt idx="226">
                  <c:v>11.300000000000043</c:v>
                </c:pt>
                <c:pt idx="227">
                  <c:v>11.350000000000044</c:v>
                </c:pt>
                <c:pt idx="228">
                  <c:v>11.400000000000045</c:v>
                </c:pt>
                <c:pt idx="229">
                  <c:v>11.450000000000045</c:v>
                </c:pt>
                <c:pt idx="230">
                  <c:v>11.500000000000046</c:v>
                </c:pt>
                <c:pt idx="231">
                  <c:v>11.550000000000047</c:v>
                </c:pt>
                <c:pt idx="232">
                  <c:v>11.600000000000048</c:v>
                </c:pt>
                <c:pt idx="233">
                  <c:v>11.650000000000048</c:v>
                </c:pt>
                <c:pt idx="234">
                  <c:v>11.700000000000049</c:v>
                </c:pt>
                <c:pt idx="235">
                  <c:v>11.75000000000005</c:v>
                </c:pt>
                <c:pt idx="236">
                  <c:v>11.80000000000005</c:v>
                </c:pt>
                <c:pt idx="237">
                  <c:v>11.850000000000051</c:v>
                </c:pt>
                <c:pt idx="238">
                  <c:v>11.900000000000052</c:v>
                </c:pt>
                <c:pt idx="239">
                  <c:v>11.950000000000053</c:v>
                </c:pt>
                <c:pt idx="240">
                  <c:v>12.000000000000053</c:v>
                </c:pt>
                <c:pt idx="241">
                  <c:v>12.050000000000054</c:v>
                </c:pt>
                <c:pt idx="242">
                  <c:v>12.100000000000055</c:v>
                </c:pt>
                <c:pt idx="243">
                  <c:v>12.150000000000055</c:v>
                </c:pt>
                <c:pt idx="244">
                  <c:v>12.200000000000056</c:v>
                </c:pt>
                <c:pt idx="245">
                  <c:v>12.250000000000057</c:v>
                </c:pt>
                <c:pt idx="246">
                  <c:v>12.300000000000058</c:v>
                </c:pt>
                <c:pt idx="247">
                  <c:v>12.350000000000058</c:v>
                </c:pt>
                <c:pt idx="248">
                  <c:v>12.400000000000059</c:v>
                </c:pt>
                <c:pt idx="249">
                  <c:v>12.45000000000006</c:v>
                </c:pt>
                <c:pt idx="250">
                  <c:v>12.50000000000006</c:v>
                </c:pt>
                <c:pt idx="251">
                  <c:v>12.550000000000061</c:v>
                </c:pt>
                <c:pt idx="252">
                  <c:v>12.600000000000062</c:v>
                </c:pt>
                <c:pt idx="253">
                  <c:v>12.650000000000063</c:v>
                </c:pt>
                <c:pt idx="254">
                  <c:v>12.700000000000063</c:v>
                </c:pt>
                <c:pt idx="255">
                  <c:v>12.750000000000064</c:v>
                </c:pt>
                <c:pt idx="256">
                  <c:v>12.800000000000065</c:v>
                </c:pt>
                <c:pt idx="257">
                  <c:v>12.850000000000065</c:v>
                </c:pt>
                <c:pt idx="258">
                  <c:v>12.900000000000066</c:v>
                </c:pt>
                <c:pt idx="259">
                  <c:v>12.950000000000067</c:v>
                </c:pt>
                <c:pt idx="260">
                  <c:v>13.000000000000068</c:v>
                </c:pt>
                <c:pt idx="261">
                  <c:v>13.050000000000068</c:v>
                </c:pt>
                <c:pt idx="262">
                  <c:v>13.100000000000069</c:v>
                </c:pt>
                <c:pt idx="263">
                  <c:v>13.15000000000007</c:v>
                </c:pt>
                <c:pt idx="264">
                  <c:v>13.20000000000007</c:v>
                </c:pt>
                <c:pt idx="265">
                  <c:v>13.250000000000071</c:v>
                </c:pt>
                <c:pt idx="266">
                  <c:v>13.300000000000072</c:v>
                </c:pt>
                <c:pt idx="267">
                  <c:v>13.350000000000072</c:v>
                </c:pt>
                <c:pt idx="268">
                  <c:v>13.400000000000073</c:v>
                </c:pt>
                <c:pt idx="269">
                  <c:v>13.450000000000074</c:v>
                </c:pt>
                <c:pt idx="270">
                  <c:v>13.500000000000075</c:v>
                </c:pt>
                <c:pt idx="271">
                  <c:v>13.550000000000075</c:v>
                </c:pt>
                <c:pt idx="272">
                  <c:v>13.600000000000076</c:v>
                </c:pt>
                <c:pt idx="273">
                  <c:v>13.650000000000077</c:v>
                </c:pt>
                <c:pt idx="274">
                  <c:v>13.700000000000077</c:v>
                </c:pt>
                <c:pt idx="275">
                  <c:v>13.750000000000078</c:v>
                </c:pt>
                <c:pt idx="276">
                  <c:v>13.800000000000079</c:v>
                </c:pt>
                <c:pt idx="277">
                  <c:v>13.85000000000008</c:v>
                </c:pt>
                <c:pt idx="278">
                  <c:v>13.90000000000008</c:v>
                </c:pt>
                <c:pt idx="279">
                  <c:v>13.950000000000081</c:v>
                </c:pt>
                <c:pt idx="280">
                  <c:v>14.000000000000082</c:v>
                </c:pt>
                <c:pt idx="281">
                  <c:v>14.050000000000082</c:v>
                </c:pt>
                <c:pt idx="282">
                  <c:v>14.100000000000083</c:v>
                </c:pt>
                <c:pt idx="283">
                  <c:v>14.150000000000084</c:v>
                </c:pt>
                <c:pt idx="284">
                  <c:v>14.200000000000085</c:v>
                </c:pt>
                <c:pt idx="285">
                  <c:v>14.250000000000085</c:v>
                </c:pt>
                <c:pt idx="286">
                  <c:v>14.300000000000086</c:v>
                </c:pt>
                <c:pt idx="287">
                  <c:v>14.350000000000087</c:v>
                </c:pt>
                <c:pt idx="288">
                  <c:v>14.400000000000087</c:v>
                </c:pt>
                <c:pt idx="289">
                  <c:v>14.450000000000088</c:v>
                </c:pt>
                <c:pt idx="290">
                  <c:v>14.500000000000089</c:v>
                </c:pt>
                <c:pt idx="291">
                  <c:v>14.55000000000009</c:v>
                </c:pt>
                <c:pt idx="292">
                  <c:v>14.60000000000009</c:v>
                </c:pt>
                <c:pt idx="293">
                  <c:v>14.650000000000091</c:v>
                </c:pt>
                <c:pt idx="294">
                  <c:v>14.700000000000092</c:v>
                </c:pt>
                <c:pt idx="295">
                  <c:v>14.750000000000092</c:v>
                </c:pt>
                <c:pt idx="296">
                  <c:v>14.800000000000093</c:v>
                </c:pt>
                <c:pt idx="297">
                  <c:v>14.850000000000094</c:v>
                </c:pt>
                <c:pt idx="298">
                  <c:v>14.900000000000095</c:v>
                </c:pt>
                <c:pt idx="299">
                  <c:v>14.950000000000095</c:v>
                </c:pt>
                <c:pt idx="300">
                  <c:v>15.000000000000096</c:v>
                </c:pt>
                <c:pt idx="301">
                  <c:v>15.050000000000097</c:v>
                </c:pt>
                <c:pt idx="302">
                  <c:v>15.100000000000097</c:v>
                </c:pt>
                <c:pt idx="303">
                  <c:v>15.150000000000098</c:v>
                </c:pt>
                <c:pt idx="304">
                  <c:v>15.200000000000099</c:v>
                </c:pt>
                <c:pt idx="305">
                  <c:v>15.250000000000099</c:v>
                </c:pt>
                <c:pt idx="306">
                  <c:v>15.3000000000001</c:v>
                </c:pt>
                <c:pt idx="307">
                  <c:v>15.350000000000101</c:v>
                </c:pt>
                <c:pt idx="308">
                  <c:v>15.400000000000102</c:v>
                </c:pt>
                <c:pt idx="309">
                  <c:v>15.450000000000102</c:v>
                </c:pt>
                <c:pt idx="310">
                  <c:v>15.500000000000103</c:v>
                </c:pt>
                <c:pt idx="311">
                  <c:v>15.550000000000104</c:v>
                </c:pt>
                <c:pt idx="312">
                  <c:v>15.600000000000104</c:v>
                </c:pt>
                <c:pt idx="313">
                  <c:v>15.650000000000105</c:v>
                </c:pt>
                <c:pt idx="314">
                  <c:v>15.700000000000106</c:v>
                </c:pt>
                <c:pt idx="315">
                  <c:v>15.750000000000107</c:v>
                </c:pt>
                <c:pt idx="316">
                  <c:v>15.800000000000107</c:v>
                </c:pt>
                <c:pt idx="317">
                  <c:v>15.850000000000108</c:v>
                </c:pt>
                <c:pt idx="318">
                  <c:v>15.900000000000109</c:v>
                </c:pt>
                <c:pt idx="319">
                  <c:v>15.950000000000109</c:v>
                </c:pt>
                <c:pt idx="320">
                  <c:v>16.00000000000011</c:v>
                </c:pt>
                <c:pt idx="321">
                  <c:v>16.050000000000111</c:v>
                </c:pt>
                <c:pt idx="322">
                  <c:v>16.100000000000112</c:v>
                </c:pt>
                <c:pt idx="323">
                  <c:v>16.150000000000112</c:v>
                </c:pt>
                <c:pt idx="324">
                  <c:v>16.200000000000113</c:v>
                </c:pt>
                <c:pt idx="325">
                  <c:v>16.250000000000114</c:v>
                </c:pt>
                <c:pt idx="326">
                  <c:v>16.300000000000114</c:v>
                </c:pt>
                <c:pt idx="327">
                  <c:v>16.350000000000115</c:v>
                </c:pt>
                <c:pt idx="328">
                  <c:v>16.400000000000116</c:v>
                </c:pt>
                <c:pt idx="329">
                  <c:v>16.450000000000117</c:v>
                </c:pt>
                <c:pt idx="330">
                  <c:v>16.500000000000117</c:v>
                </c:pt>
                <c:pt idx="331">
                  <c:v>16.550000000000118</c:v>
                </c:pt>
                <c:pt idx="332">
                  <c:v>16.600000000000119</c:v>
                </c:pt>
                <c:pt idx="333">
                  <c:v>16.650000000000119</c:v>
                </c:pt>
                <c:pt idx="334">
                  <c:v>16.70000000000012</c:v>
                </c:pt>
                <c:pt idx="335">
                  <c:v>16.750000000000121</c:v>
                </c:pt>
                <c:pt idx="336">
                  <c:v>16.800000000000122</c:v>
                </c:pt>
                <c:pt idx="337">
                  <c:v>16.850000000000122</c:v>
                </c:pt>
                <c:pt idx="338">
                  <c:v>16.900000000000123</c:v>
                </c:pt>
                <c:pt idx="339">
                  <c:v>16.950000000000124</c:v>
                </c:pt>
                <c:pt idx="340">
                  <c:v>17.000000000000124</c:v>
                </c:pt>
                <c:pt idx="341">
                  <c:v>17.050000000000125</c:v>
                </c:pt>
                <c:pt idx="342">
                  <c:v>17.100000000000126</c:v>
                </c:pt>
                <c:pt idx="343">
                  <c:v>17.150000000000126</c:v>
                </c:pt>
                <c:pt idx="344">
                  <c:v>17.200000000000127</c:v>
                </c:pt>
                <c:pt idx="345">
                  <c:v>17.250000000000128</c:v>
                </c:pt>
                <c:pt idx="346">
                  <c:v>17.300000000000129</c:v>
                </c:pt>
                <c:pt idx="347">
                  <c:v>17.350000000000129</c:v>
                </c:pt>
                <c:pt idx="348">
                  <c:v>17.40000000000013</c:v>
                </c:pt>
                <c:pt idx="349">
                  <c:v>17.450000000000131</c:v>
                </c:pt>
                <c:pt idx="350">
                  <c:v>17.500000000000131</c:v>
                </c:pt>
                <c:pt idx="351">
                  <c:v>17.550000000000132</c:v>
                </c:pt>
                <c:pt idx="352">
                  <c:v>17.600000000000133</c:v>
                </c:pt>
              </c:numCache>
            </c:numRef>
          </c:xVal>
          <c:yVal>
            <c:numRef>
              <c:f>'Coriolis Manufact Error'!$F$6:$F$358</c:f>
              <c:numCache>
                <c:formatCode>0.00</c:formatCode>
                <c:ptCount val="353"/>
                <c:pt idx="0">
                  <c:v>-2.6944444444444446</c:v>
                </c:pt>
                <c:pt idx="1">
                  <c:v>-1.996031746031746</c:v>
                </c:pt>
                <c:pt idx="2">
                  <c:v>-1.4722222222222223</c:v>
                </c:pt>
                <c:pt idx="3">
                  <c:v>-1.0648148148148149</c:v>
                </c:pt>
                <c:pt idx="4">
                  <c:v>-0.86111111111111116</c:v>
                </c:pt>
                <c:pt idx="5">
                  <c:v>-0.73888888888888893</c:v>
                </c:pt>
                <c:pt idx="6">
                  <c:v>-0.65740740740740744</c:v>
                </c:pt>
                <c:pt idx="7">
                  <c:v>-0.5992063492063493</c:v>
                </c:pt>
                <c:pt idx="8">
                  <c:v>-0.55555555555555558</c:v>
                </c:pt>
                <c:pt idx="9">
                  <c:v>-0.52160493827160503</c:v>
                </c:pt>
                <c:pt idx="10">
                  <c:v>-0.49444444444444446</c:v>
                </c:pt>
                <c:pt idx="11">
                  <c:v>-0.47222222222222221</c:v>
                </c:pt>
                <c:pt idx="12">
                  <c:v>-0.45370370370370372</c:v>
                </c:pt>
                <c:pt idx="13">
                  <c:v>-0.43803418803418803</c:v>
                </c:pt>
                <c:pt idx="14">
                  <c:v>-0.42460317460317465</c:v>
                </c:pt>
                <c:pt idx="15">
                  <c:v>-0.41296296296296298</c:v>
                </c:pt>
                <c:pt idx="16">
                  <c:v>-0.40277777777777779</c:v>
                </c:pt>
                <c:pt idx="17">
                  <c:v>-0.39379084967320266</c:v>
                </c:pt>
                <c:pt idx="18">
                  <c:v>-0.38580246913580252</c:v>
                </c:pt>
                <c:pt idx="19">
                  <c:v>-0.37865497076023391</c:v>
                </c:pt>
                <c:pt idx="20">
                  <c:v>-0.37222222222222223</c:v>
                </c:pt>
                <c:pt idx="21">
                  <c:v>-0.3664021164021164</c:v>
                </c:pt>
                <c:pt idx="22">
                  <c:v>-0.3611111111111111</c:v>
                </c:pt>
                <c:pt idx="23">
                  <c:v>-0.356280193236715</c:v>
                </c:pt>
                <c:pt idx="24">
                  <c:v>-0.35185185185185186</c:v>
                </c:pt>
                <c:pt idx="25">
                  <c:v>-0.3477777777777778</c:v>
                </c:pt>
                <c:pt idx="26">
                  <c:v>-0.34401709401709402</c:v>
                </c:pt>
                <c:pt idx="27">
                  <c:v>-0.34053497942386834</c:v>
                </c:pt>
                <c:pt idx="28">
                  <c:v>-0.33730158730158732</c:v>
                </c:pt>
                <c:pt idx="29">
                  <c:v>-0.33429118773946365</c:v>
                </c:pt>
                <c:pt idx="30">
                  <c:v>-0.33148148148148149</c:v>
                </c:pt>
                <c:pt idx="31">
                  <c:v>-0.3288530465949821</c:v>
                </c:pt>
                <c:pt idx="32">
                  <c:v>-0.3263888888888889</c:v>
                </c:pt>
                <c:pt idx="33">
                  <c:v>-0.32407407407407407</c:v>
                </c:pt>
                <c:pt idx="34">
                  <c:v>-0.32189542483660133</c:v>
                </c:pt>
                <c:pt idx="35">
                  <c:v>-0.31984126984126982</c:v>
                </c:pt>
                <c:pt idx="36">
                  <c:v>-0.31790123456790126</c:v>
                </c:pt>
                <c:pt idx="37">
                  <c:v>-0.31606606606606608</c:v>
                </c:pt>
                <c:pt idx="38">
                  <c:v>-0.31432748538011696</c:v>
                </c:pt>
                <c:pt idx="39">
                  <c:v>-0.3126780626780627</c:v>
                </c:pt>
                <c:pt idx="40">
                  <c:v>-0.31111111111111112</c:v>
                </c:pt>
                <c:pt idx="41">
                  <c:v>-0.30962059620596205</c:v>
                </c:pt>
                <c:pt idx="42">
                  <c:v>-0.3082010582010582</c:v>
                </c:pt>
                <c:pt idx="43">
                  <c:v>-0.30684754521963825</c:v>
                </c:pt>
                <c:pt idx="44">
                  <c:v>-0.30555555555555558</c:v>
                </c:pt>
                <c:pt idx="45">
                  <c:v>-0.30432098765432103</c:v>
                </c:pt>
                <c:pt idx="46">
                  <c:v>-0.3031400966183575</c:v>
                </c:pt>
                <c:pt idx="47">
                  <c:v>-0.30200945626477543</c:v>
                </c:pt>
                <c:pt idx="48">
                  <c:v>-0.30092592592592593</c:v>
                </c:pt>
                <c:pt idx="49">
                  <c:v>-0.29988662131519273</c:v>
                </c:pt>
                <c:pt idx="50">
                  <c:v>-0.29888888888888887</c:v>
                </c:pt>
                <c:pt idx="51">
                  <c:v>-0.2979302832244009</c:v>
                </c:pt>
                <c:pt idx="52">
                  <c:v>-0.29700854700854701</c:v>
                </c:pt>
                <c:pt idx="53">
                  <c:v>-0.29612159329140464</c:v>
                </c:pt>
                <c:pt idx="54">
                  <c:v>-0.29526748971193417</c:v>
                </c:pt>
                <c:pt idx="55">
                  <c:v>-0.29444444444444445</c:v>
                </c:pt>
                <c:pt idx="56">
                  <c:v>-0.29365079365079366</c:v>
                </c:pt>
                <c:pt idx="57">
                  <c:v>-0.2928849902534113</c:v>
                </c:pt>
                <c:pt idx="58">
                  <c:v>-0.29214559386973182</c:v>
                </c:pt>
                <c:pt idx="59">
                  <c:v>-0.29143126177024481</c:v>
                </c:pt>
                <c:pt idx="60">
                  <c:v>-0.29074074074074074</c:v>
                </c:pt>
                <c:pt idx="61">
                  <c:v>-0.29007285974499092</c:v>
                </c:pt>
                <c:pt idx="62">
                  <c:v>-0.28942652329749102</c:v>
                </c:pt>
                <c:pt idx="63">
                  <c:v>-0.28880070546737213</c:v>
                </c:pt>
                <c:pt idx="64">
                  <c:v>-0.28819444444444442</c:v>
                </c:pt>
                <c:pt idx="65">
                  <c:v>-0.28760683760683758</c:v>
                </c:pt>
                <c:pt idx="66">
                  <c:v>-0.28703703703703703</c:v>
                </c:pt>
                <c:pt idx="67">
                  <c:v>-0.28648424543946932</c:v>
                </c:pt>
                <c:pt idx="68">
                  <c:v>-0.28594771241830064</c:v>
                </c:pt>
                <c:pt idx="69">
                  <c:v>-0.28542673107890498</c:v>
                </c:pt>
                <c:pt idx="70">
                  <c:v>-0.28492063492063491</c:v>
                </c:pt>
                <c:pt idx="71">
                  <c:v>-0.28442879499217527</c:v>
                </c:pt>
                <c:pt idx="72">
                  <c:v>-0.2839506172839506</c:v>
                </c:pt>
                <c:pt idx="73">
                  <c:v>-0.2834855403348554</c:v>
                </c:pt>
                <c:pt idx="74">
                  <c:v>-0.28303303303303307</c:v>
                </c:pt>
                <c:pt idx="75">
                  <c:v>-0.28259259259259262</c:v>
                </c:pt>
                <c:pt idx="76">
                  <c:v>-0.28216374269005851</c:v>
                </c:pt>
                <c:pt idx="77">
                  <c:v>-0.28174603174603174</c:v>
                </c:pt>
                <c:pt idx="78">
                  <c:v>-0.28133903133903138</c:v>
                </c:pt>
                <c:pt idx="79">
                  <c:v>-0.28094233473980312</c:v>
                </c:pt>
                <c:pt idx="80">
                  <c:v>-0.28055555555555556</c:v>
                </c:pt>
                <c:pt idx="81">
                  <c:v>-0.28017832647462276</c:v>
                </c:pt>
                <c:pt idx="82">
                  <c:v>-0.27981029810298103</c:v>
                </c:pt>
                <c:pt idx="83">
                  <c:v>-0.2794511378848728</c:v>
                </c:pt>
                <c:pt idx="84">
                  <c:v>-0.27910052910052913</c:v>
                </c:pt>
                <c:pt idx="85">
                  <c:v>-0.27875816993464053</c:v>
                </c:pt>
                <c:pt idx="86">
                  <c:v>-0.27842377260981915</c:v>
                </c:pt>
                <c:pt idx="87">
                  <c:v>-0.2780970625798212</c:v>
                </c:pt>
                <c:pt idx="88">
                  <c:v>-0.27777777777777779</c:v>
                </c:pt>
                <c:pt idx="89">
                  <c:v>-0.27746566791510613</c:v>
                </c:pt>
                <c:pt idx="90">
                  <c:v>-0.27716049382716051</c:v>
                </c:pt>
                <c:pt idx="91">
                  <c:v>-0.27686202686202688</c:v>
                </c:pt>
                <c:pt idx="92">
                  <c:v>-0.27657004830917875</c:v>
                </c:pt>
                <c:pt idx="93">
                  <c:v>-0.27628434886499403</c:v>
                </c:pt>
                <c:pt idx="94">
                  <c:v>-0.27600472813238769</c:v>
                </c:pt>
                <c:pt idx="95">
                  <c:v>-0.27573099415204677</c:v>
                </c:pt>
                <c:pt idx="96">
                  <c:v>-0.27546296296296297</c:v>
                </c:pt>
                <c:pt idx="97">
                  <c:v>-0.27520045819014893</c:v>
                </c:pt>
                <c:pt idx="98">
                  <c:v>-0.27494331065759636</c:v>
                </c:pt>
                <c:pt idx="99">
                  <c:v>-0.27469135802469136</c:v>
                </c:pt>
                <c:pt idx="100">
                  <c:v>-0.27444444444444444</c:v>
                </c:pt>
                <c:pt idx="101">
                  <c:v>-0.27420242024202424</c:v>
                </c:pt>
                <c:pt idx="102">
                  <c:v>-0.27396514161220042</c:v>
                </c:pt>
                <c:pt idx="103">
                  <c:v>-0.27373247033441206</c:v>
                </c:pt>
                <c:pt idx="104">
                  <c:v>-0.27350427350427353</c:v>
                </c:pt>
                <c:pt idx="105">
                  <c:v>-0.27328042328042329</c:v>
                </c:pt>
                <c:pt idx="106">
                  <c:v>-0.27306079664570232</c:v>
                </c:pt>
                <c:pt idx="107">
                  <c:v>-0.2728452751817238</c:v>
                </c:pt>
                <c:pt idx="108">
                  <c:v>-0.27263374485596709</c:v>
                </c:pt>
                <c:pt idx="109">
                  <c:v>-0.27242609582059124</c:v>
                </c:pt>
                <c:pt idx="110">
                  <c:v>-0.27222222222222225</c:v>
                </c:pt>
                <c:pt idx="111">
                  <c:v>-0.27202202202202203</c:v>
                </c:pt>
                <c:pt idx="112">
                  <c:v>-0.27182539682539686</c:v>
                </c:pt>
                <c:pt idx="113">
                  <c:v>-0.27163225172074729</c:v>
                </c:pt>
                <c:pt idx="114">
                  <c:v>-0.27144249512670565</c:v>
                </c:pt>
                <c:pt idx="115">
                  <c:v>-0.27125603864734299</c:v>
                </c:pt>
                <c:pt idx="116">
                  <c:v>-0.27107279693486591</c:v>
                </c:pt>
                <c:pt idx="117">
                  <c:v>-0.27089268755935425</c:v>
                </c:pt>
                <c:pt idx="118">
                  <c:v>-0.2707156308851224</c:v>
                </c:pt>
                <c:pt idx="119">
                  <c:v>-0.27054154995331464</c:v>
                </c:pt>
                <c:pt idx="120">
                  <c:v>-0.27037037037037037</c:v>
                </c:pt>
                <c:pt idx="121">
                  <c:v>-0.27020202020202022</c:v>
                </c:pt>
                <c:pt idx="122">
                  <c:v>-0.27003642987249543</c:v>
                </c:pt>
                <c:pt idx="123">
                  <c:v>-0.269873532068654</c:v>
                </c:pt>
                <c:pt idx="124">
                  <c:v>-0.26971326164874554</c:v>
                </c:pt>
                <c:pt idx="125">
                  <c:v>-0.26955555555555555</c:v>
                </c:pt>
                <c:pt idx="126">
                  <c:v>-0.26940035273368607</c:v>
                </c:pt>
                <c:pt idx="127">
                  <c:v>-0.26924759405074367</c:v>
                </c:pt>
                <c:pt idx="128">
                  <c:v>-0.26909722222222221</c:v>
                </c:pt>
                <c:pt idx="129">
                  <c:v>-0.26894918173987942</c:v>
                </c:pt>
                <c:pt idx="130">
                  <c:v>-0.26880341880341879</c:v>
                </c:pt>
                <c:pt idx="131">
                  <c:v>-0.2686598812553011</c:v>
                </c:pt>
                <c:pt idx="132">
                  <c:v>-0.26851851851851855</c:v>
                </c:pt>
                <c:pt idx="133">
                  <c:v>-0.26837928153717627</c:v>
                </c:pt>
                <c:pt idx="134">
                  <c:v>-0.26824212271973469</c:v>
                </c:pt>
                <c:pt idx="135">
                  <c:v>-0.26810699588477366</c:v>
                </c:pt>
                <c:pt idx="136">
                  <c:v>-0.26797385620915032</c:v>
                </c:pt>
                <c:pt idx="137">
                  <c:v>-0.26784266017842662</c:v>
                </c:pt>
                <c:pt idx="138">
                  <c:v>-0.26771336553945252</c:v>
                </c:pt>
                <c:pt idx="139">
                  <c:v>-0.26758593125499602</c:v>
                </c:pt>
                <c:pt idx="140">
                  <c:v>-0.26746031746031745</c:v>
                </c:pt>
                <c:pt idx="141">
                  <c:v>-0.26733648542159183</c:v>
                </c:pt>
                <c:pt idx="142">
                  <c:v>-0.26721439749608766</c:v>
                </c:pt>
                <c:pt idx="143">
                  <c:v>-0.26709401709401709</c:v>
                </c:pt>
                <c:pt idx="144">
                  <c:v>-0.26697530864197533</c:v>
                </c:pt>
                <c:pt idx="145">
                  <c:v>-0.26685823754789273</c:v>
                </c:pt>
                <c:pt idx="146">
                  <c:v>-0.2667427701674277</c:v>
                </c:pt>
                <c:pt idx="147">
                  <c:v>-0.26662887377173095</c:v>
                </c:pt>
                <c:pt idx="148">
                  <c:v>-0.26651651651651653</c:v>
                </c:pt>
                <c:pt idx="149">
                  <c:v>-0.26640566741237881</c:v>
                </c:pt>
                <c:pt idx="150">
                  <c:v>-0.26629629629629631</c:v>
                </c:pt>
                <c:pt idx="151">
                  <c:v>-0.26618837380426785</c:v>
                </c:pt>
                <c:pt idx="152">
                  <c:v>-0.26608187134502925</c:v>
                </c:pt>
                <c:pt idx="153">
                  <c:v>-0.26597676107480028</c:v>
                </c:pt>
                <c:pt idx="154">
                  <c:v>-0.26587301587301587</c:v>
                </c:pt>
                <c:pt idx="155">
                  <c:v>-0.26577060931899643</c:v>
                </c:pt>
                <c:pt idx="156">
                  <c:v>-0.26566951566951569</c:v>
                </c:pt>
                <c:pt idx="157">
                  <c:v>-0.26556970983722578</c:v>
                </c:pt>
                <c:pt idx="158">
                  <c:v>-0.26547116736990156</c:v>
                </c:pt>
                <c:pt idx="159">
                  <c:v>-0.26537386443046823</c:v>
                </c:pt>
                <c:pt idx="160">
                  <c:v>-0.26527777777777778</c:v>
                </c:pt>
                <c:pt idx="161">
                  <c:v>-0.26518288474810214</c:v>
                </c:pt>
                <c:pt idx="162">
                  <c:v>-0.26508916323731141</c:v>
                </c:pt>
                <c:pt idx="163">
                  <c:v>-0.26499659168370826</c:v>
                </c:pt>
                <c:pt idx="164">
                  <c:v>-0.26490514905149054</c:v>
                </c:pt>
                <c:pt idx="165">
                  <c:v>-0.26481481481481484</c:v>
                </c:pt>
                <c:pt idx="166">
                  <c:v>-0.26472556894243643</c:v>
                </c:pt>
                <c:pt idx="167">
                  <c:v>-0.26463739188290086</c:v>
                </c:pt>
                <c:pt idx="168">
                  <c:v>-0.26455026455026454</c:v>
                </c:pt>
                <c:pt idx="169">
                  <c:v>-0.26446416831032216</c:v>
                </c:pt>
                <c:pt idx="170">
                  <c:v>-0.26437908496732027</c:v>
                </c:pt>
                <c:pt idx="171">
                  <c:v>-0.2642949967511371</c:v>
                </c:pt>
                <c:pt idx="172">
                  <c:v>-0.26421188630490955</c:v>
                </c:pt>
                <c:pt idx="173">
                  <c:v>-0.26412973667308925</c:v>
                </c:pt>
                <c:pt idx="174">
                  <c:v>-0.26404853128991057</c:v>
                </c:pt>
                <c:pt idx="175">
                  <c:v>-0.26396825396825396</c:v>
                </c:pt>
                <c:pt idx="176">
                  <c:v>-0.2638888888888889</c:v>
                </c:pt>
                <c:pt idx="177">
                  <c:v>-0.26381042059008158</c:v>
                </c:pt>
                <c:pt idx="178">
                  <c:v>-0.26373283395755304</c:v>
                </c:pt>
                <c:pt idx="179">
                  <c:v>-0.26365611421477342</c:v>
                </c:pt>
                <c:pt idx="180">
                  <c:v>-0.26358024691358023</c:v>
                </c:pt>
                <c:pt idx="181">
                  <c:v>-0.26350521792510739</c:v>
                </c:pt>
                <c:pt idx="182">
                  <c:v>-0.26343101343101344</c:v>
                </c:pt>
                <c:pt idx="183">
                  <c:v>-0.26335761991499695</c:v>
                </c:pt>
                <c:pt idx="184">
                  <c:v>-0.26328502415458938</c:v>
                </c:pt>
                <c:pt idx="185">
                  <c:v>-0.26321321321321317</c:v>
                </c:pt>
                <c:pt idx="186">
                  <c:v>-0.26314217443249699</c:v>
                </c:pt>
                <c:pt idx="187">
                  <c:v>-0.26307189542483655</c:v>
                </c:pt>
                <c:pt idx="188">
                  <c:v>-0.26300236406619382</c:v>
                </c:pt>
                <c:pt idx="189">
                  <c:v>-0.26293356848912403</c:v>
                </c:pt>
                <c:pt idx="190">
                  <c:v>-0.26286549707602336</c:v>
                </c:pt>
                <c:pt idx="191">
                  <c:v>-0.2627981384525887</c:v>
                </c:pt>
                <c:pt idx="192">
                  <c:v>-0.26273148148148145</c:v>
                </c:pt>
                <c:pt idx="193">
                  <c:v>-0.26266551525618881</c:v>
                </c:pt>
                <c:pt idx="194">
                  <c:v>-0.26260022909507441</c:v>
                </c:pt>
                <c:pt idx="195">
                  <c:v>-0.26253561253561253</c:v>
                </c:pt>
                <c:pt idx="196">
                  <c:v>-0.26247165532879818</c:v>
                </c:pt>
                <c:pt idx="197">
                  <c:v>-0.2624083474337281</c:v>
                </c:pt>
                <c:pt idx="198">
                  <c:v>-0.26234567901234568</c:v>
                </c:pt>
                <c:pt idx="199">
                  <c:v>-0.26228364042434393</c:v>
                </c:pt>
                <c:pt idx="200">
                  <c:v>-0.26222222222222219</c:v>
                </c:pt>
                <c:pt idx="201">
                  <c:v>-0.26216141514648972</c:v>
                </c:pt>
                <c:pt idx="202">
                  <c:v>-0.26210121012101206</c:v>
                </c:pt>
                <c:pt idx="203">
                  <c:v>-0.26204159824849477</c:v>
                </c:pt>
                <c:pt idx="204">
                  <c:v>-0.26198257080610021</c:v>
                </c:pt>
                <c:pt idx="205">
                  <c:v>-0.26192411924119235</c:v>
                </c:pt>
                <c:pt idx="206">
                  <c:v>-0.26186623516720603</c:v>
                </c:pt>
                <c:pt idx="207">
                  <c:v>-0.26180891035963494</c:v>
                </c:pt>
                <c:pt idx="208">
                  <c:v>-0.26175213675213671</c:v>
                </c:pt>
                <c:pt idx="209">
                  <c:v>-0.26169590643274848</c:v>
                </c:pt>
                <c:pt idx="210">
                  <c:v>-0.26164021164021162</c:v>
                </c:pt>
                <c:pt idx="211">
                  <c:v>-0.26158504476040018</c:v>
                </c:pt>
                <c:pt idx="212">
                  <c:v>-0.26153039832285113</c:v>
                </c:pt>
                <c:pt idx="213">
                  <c:v>-0.26147626499739174</c:v>
                </c:pt>
                <c:pt idx="214">
                  <c:v>-0.26142263759086187</c:v>
                </c:pt>
                <c:pt idx="215">
                  <c:v>-0.26136950904392764</c:v>
                </c:pt>
                <c:pt idx="216">
                  <c:v>-0.26131687242798352</c:v>
                </c:pt>
                <c:pt idx="217">
                  <c:v>-0.26126472094214026</c:v>
                </c:pt>
                <c:pt idx="218">
                  <c:v>-0.26121304791029559</c:v>
                </c:pt>
                <c:pt idx="219">
                  <c:v>-0.26116184677828508</c:v>
                </c:pt>
                <c:pt idx="220">
                  <c:v>-0.26111111111111107</c:v>
                </c:pt>
                <c:pt idx="221">
                  <c:v>-0.26106083459024632</c:v>
                </c:pt>
                <c:pt idx="222">
                  <c:v>-0.26101101101101098</c:v>
                </c:pt>
                <c:pt idx="223">
                  <c:v>-0.26096163428001989</c:v>
                </c:pt>
                <c:pt idx="224">
                  <c:v>-0.26091269841269837</c:v>
                </c:pt>
                <c:pt idx="225">
                  <c:v>-0.26086419753086415</c:v>
                </c:pt>
                <c:pt idx="226">
                  <c:v>-0.26081612586037362</c:v>
                </c:pt>
                <c:pt idx="227">
                  <c:v>-0.26076847772883011</c:v>
                </c:pt>
                <c:pt idx="228">
                  <c:v>-0.2607212475633528</c:v>
                </c:pt>
                <c:pt idx="229">
                  <c:v>-0.26067442988840367</c:v>
                </c:pt>
                <c:pt idx="230">
                  <c:v>-0.26062801932367147</c:v>
                </c:pt>
                <c:pt idx="231">
                  <c:v>-0.26058201058201053</c:v>
                </c:pt>
                <c:pt idx="232">
                  <c:v>-0.26053639846743293</c:v>
                </c:pt>
                <c:pt idx="233">
                  <c:v>-0.26049117787315207</c:v>
                </c:pt>
                <c:pt idx="234">
                  <c:v>-0.26044634377967707</c:v>
                </c:pt>
                <c:pt idx="235">
                  <c:v>-0.26040189125295504</c:v>
                </c:pt>
                <c:pt idx="236">
                  <c:v>-0.26035781544256115</c:v>
                </c:pt>
                <c:pt idx="237">
                  <c:v>-0.26031411157993434</c:v>
                </c:pt>
                <c:pt idx="238">
                  <c:v>-0.26027077497665729</c:v>
                </c:pt>
                <c:pt idx="239">
                  <c:v>-0.26022780102278004</c:v>
                </c:pt>
                <c:pt idx="240">
                  <c:v>-0.26018518518518513</c:v>
                </c:pt>
                <c:pt idx="241">
                  <c:v>-0.26014292300599351</c:v>
                </c:pt>
                <c:pt idx="242">
                  <c:v>-0.26010101010101006</c:v>
                </c:pt>
                <c:pt idx="243">
                  <c:v>-0.26005944215820753</c:v>
                </c:pt>
                <c:pt idx="244">
                  <c:v>-0.26001821493624766</c:v>
                </c:pt>
                <c:pt idx="245">
                  <c:v>-0.25997732426303849</c:v>
                </c:pt>
                <c:pt idx="246">
                  <c:v>-0.25993676603432697</c:v>
                </c:pt>
                <c:pt idx="247">
                  <c:v>-0.25989653621232567</c:v>
                </c:pt>
                <c:pt idx="248">
                  <c:v>-0.25985663082437271</c:v>
                </c:pt>
                <c:pt idx="249">
                  <c:v>-0.25981704596162425</c:v>
                </c:pt>
                <c:pt idx="250">
                  <c:v>-0.25977777777777772</c:v>
                </c:pt>
                <c:pt idx="251">
                  <c:v>-0.25973882248782643</c:v>
                </c:pt>
                <c:pt idx="252">
                  <c:v>-0.25970017636684301</c:v>
                </c:pt>
                <c:pt idx="253">
                  <c:v>-0.2596618357487922</c:v>
                </c:pt>
                <c:pt idx="254">
                  <c:v>-0.25962379702537181</c:v>
                </c:pt>
                <c:pt idx="255">
                  <c:v>-0.2595860566448801</c:v>
                </c:pt>
                <c:pt idx="256">
                  <c:v>-0.25954861111111105</c:v>
                </c:pt>
                <c:pt idx="257">
                  <c:v>-0.25951145698227407</c:v>
                </c:pt>
                <c:pt idx="258">
                  <c:v>-0.25947459086993968</c:v>
                </c:pt>
                <c:pt idx="259">
                  <c:v>-0.25943800943800938</c:v>
                </c:pt>
                <c:pt idx="260">
                  <c:v>-0.25940170940170937</c:v>
                </c:pt>
                <c:pt idx="261">
                  <c:v>-0.25936568752660705</c:v>
                </c:pt>
                <c:pt idx="262">
                  <c:v>-0.25932994062765052</c:v>
                </c:pt>
                <c:pt idx="263">
                  <c:v>-0.25929446556822977</c:v>
                </c:pt>
                <c:pt idx="264">
                  <c:v>-0.25925925925925919</c:v>
                </c:pt>
                <c:pt idx="265">
                  <c:v>-0.25922431865828088</c:v>
                </c:pt>
                <c:pt idx="266">
                  <c:v>-0.25918964076858808</c:v>
                </c:pt>
                <c:pt idx="267">
                  <c:v>-0.25915522263836865</c:v>
                </c:pt>
                <c:pt idx="268">
                  <c:v>-0.25912106135986729</c:v>
                </c:pt>
                <c:pt idx="269">
                  <c:v>-0.25908715406856664</c:v>
                </c:pt>
                <c:pt idx="270">
                  <c:v>-0.2590534979423868</c:v>
                </c:pt>
                <c:pt idx="271">
                  <c:v>-0.25902009020090194</c:v>
                </c:pt>
                <c:pt idx="272">
                  <c:v>-0.25898692810457513</c:v>
                </c:pt>
                <c:pt idx="273">
                  <c:v>-0.25895400895400889</c:v>
                </c:pt>
                <c:pt idx="274">
                  <c:v>-0.25892133008921325</c:v>
                </c:pt>
                <c:pt idx="275">
                  <c:v>-0.25888888888888884</c:v>
                </c:pt>
                <c:pt idx="276">
                  <c:v>-0.25885668276972618</c:v>
                </c:pt>
                <c:pt idx="277">
                  <c:v>-0.25882470918571998</c:v>
                </c:pt>
                <c:pt idx="278">
                  <c:v>-0.25879296562749793</c:v>
                </c:pt>
                <c:pt idx="279">
                  <c:v>-0.25876144962166464</c:v>
                </c:pt>
                <c:pt idx="280">
                  <c:v>-0.2587301587301587</c:v>
                </c:pt>
                <c:pt idx="281">
                  <c:v>-0.25869909054962431</c:v>
                </c:pt>
                <c:pt idx="282">
                  <c:v>-0.25866824271079586</c:v>
                </c:pt>
                <c:pt idx="283">
                  <c:v>-0.2586376128778955</c:v>
                </c:pt>
                <c:pt idx="284">
                  <c:v>-0.25860719874804378</c:v>
                </c:pt>
                <c:pt idx="285">
                  <c:v>-0.25857699805068224</c:v>
                </c:pt>
                <c:pt idx="286">
                  <c:v>-0.25854700854700852</c:v>
                </c:pt>
                <c:pt idx="287">
                  <c:v>-0.25851722802942312</c:v>
                </c:pt>
                <c:pt idx="288">
                  <c:v>-0.25848765432098758</c:v>
                </c:pt>
                <c:pt idx="289">
                  <c:v>-0.25845828527489423</c:v>
                </c:pt>
                <c:pt idx="290">
                  <c:v>-0.25842911877394631</c:v>
                </c:pt>
                <c:pt idx="291">
                  <c:v>-0.25840015273004957</c:v>
                </c:pt>
                <c:pt idx="292">
                  <c:v>-0.25837138508371382</c:v>
                </c:pt>
                <c:pt idx="293">
                  <c:v>-0.25834281380356461</c:v>
                </c:pt>
                <c:pt idx="294">
                  <c:v>-0.25831443688586542</c:v>
                </c:pt>
                <c:pt idx="295">
                  <c:v>-0.2582862523540489</c:v>
                </c:pt>
                <c:pt idx="296">
                  <c:v>-0.25825825825825821</c:v>
                </c:pt>
                <c:pt idx="297">
                  <c:v>-0.25823045267489708</c:v>
                </c:pt>
                <c:pt idx="298">
                  <c:v>-0.25820283370618935</c:v>
                </c:pt>
                <c:pt idx="299">
                  <c:v>-0.25817539947974727</c:v>
                </c:pt>
                <c:pt idx="300">
                  <c:v>-0.25814814814814807</c:v>
                </c:pt>
                <c:pt idx="301">
                  <c:v>-0.25812107788851968</c:v>
                </c:pt>
                <c:pt idx="302">
                  <c:v>-0.25809418690213387</c:v>
                </c:pt>
                <c:pt idx="303">
                  <c:v>-0.25806747341400804</c:v>
                </c:pt>
                <c:pt idx="304">
                  <c:v>-0.25804093567251457</c:v>
                </c:pt>
                <c:pt idx="305">
                  <c:v>-0.25801457194899813</c:v>
                </c:pt>
                <c:pt idx="306">
                  <c:v>-0.25798838053740009</c:v>
                </c:pt>
                <c:pt idx="307">
                  <c:v>-0.25796235975389065</c:v>
                </c:pt>
                <c:pt idx="308">
                  <c:v>-0.25793650793650791</c:v>
                </c:pt>
                <c:pt idx="309">
                  <c:v>-0.25791082344480398</c:v>
                </c:pt>
                <c:pt idx="310">
                  <c:v>-0.25788530465949816</c:v>
                </c:pt>
                <c:pt idx="311">
                  <c:v>-0.2578599499821364</c:v>
                </c:pt>
                <c:pt idx="312">
                  <c:v>-0.25783475783475779</c:v>
                </c:pt>
                <c:pt idx="313">
                  <c:v>-0.25780972665956686</c:v>
                </c:pt>
                <c:pt idx="314">
                  <c:v>-0.2577848549186128</c:v>
                </c:pt>
                <c:pt idx="315">
                  <c:v>-0.25776014109347439</c:v>
                </c:pt>
                <c:pt idx="316">
                  <c:v>-0.2577355836849507</c:v>
                </c:pt>
                <c:pt idx="317">
                  <c:v>-0.25771118121275843</c:v>
                </c:pt>
                <c:pt idx="318">
                  <c:v>-0.25768693221523403</c:v>
                </c:pt>
                <c:pt idx="319">
                  <c:v>-0.2576628352490421</c:v>
                </c:pt>
                <c:pt idx="320">
                  <c:v>-0.25763888888888886</c:v>
                </c:pt>
                <c:pt idx="321">
                  <c:v>-0.25761509172724123</c:v>
                </c:pt>
                <c:pt idx="322">
                  <c:v>-0.25759144237405102</c:v>
                </c:pt>
                <c:pt idx="323">
                  <c:v>-0.25756793945648432</c:v>
                </c:pt>
                <c:pt idx="324">
                  <c:v>-0.25754458161865562</c:v>
                </c:pt>
                <c:pt idx="325">
                  <c:v>-0.25752136752136745</c:v>
                </c:pt>
                <c:pt idx="326">
                  <c:v>-0.25749829584185407</c:v>
                </c:pt>
                <c:pt idx="327">
                  <c:v>-0.25747536527353038</c:v>
                </c:pt>
                <c:pt idx="328">
                  <c:v>-0.25745257452574521</c:v>
                </c:pt>
                <c:pt idx="329">
                  <c:v>-0.25742992232353928</c:v>
                </c:pt>
                <c:pt idx="330">
                  <c:v>-0.25740740740740736</c:v>
                </c:pt>
                <c:pt idx="331">
                  <c:v>-0.25738502853306472</c:v>
                </c:pt>
                <c:pt idx="332">
                  <c:v>-0.25736278447121813</c:v>
                </c:pt>
                <c:pt idx="333">
                  <c:v>-0.25734067400734062</c:v>
                </c:pt>
                <c:pt idx="334">
                  <c:v>-0.2573186959414504</c:v>
                </c:pt>
                <c:pt idx="335">
                  <c:v>-0.2572968490878938</c:v>
                </c:pt>
                <c:pt idx="336">
                  <c:v>-0.25727513227513221</c:v>
                </c:pt>
                <c:pt idx="337">
                  <c:v>-0.25725354434553244</c:v>
                </c:pt>
                <c:pt idx="338">
                  <c:v>-0.25723208415516102</c:v>
                </c:pt>
                <c:pt idx="339">
                  <c:v>-0.25721075057358239</c:v>
                </c:pt>
                <c:pt idx="340">
                  <c:v>-0.25718954248366011</c:v>
                </c:pt>
                <c:pt idx="341">
                  <c:v>-0.25716845878136196</c:v>
                </c:pt>
                <c:pt idx="342">
                  <c:v>-0.2571474983755685</c:v>
                </c:pt>
                <c:pt idx="343">
                  <c:v>-0.2571266601878846</c:v>
                </c:pt>
                <c:pt idx="344">
                  <c:v>-0.25710594315245472</c:v>
                </c:pt>
                <c:pt idx="345">
                  <c:v>-0.25708534621578094</c:v>
                </c:pt>
                <c:pt idx="346">
                  <c:v>-0.25706486833654457</c:v>
                </c:pt>
                <c:pt idx="347">
                  <c:v>-0.25704450848543065</c:v>
                </c:pt>
                <c:pt idx="348">
                  <c:v>-0.25702426564495523</c:v>
                </c:pt>
                <c:pt idx="349">
                  <c:v>-0.25700413880929635</c:v>
                </c:pt>
                <c:pt idx="350">
                  <c:v>-0.25698412698412693</c:v>
                </c:pt>
                <c:pt idx="351">
                  <c:v>-0.25696422918645134</c:v>
                </c:pt>
                <c:pt idx="352">
                  <c:v>-0.25694444444444442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81-48B0-BC62-CF5F83AF6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6"/>
                <c:tx>
                  <c:v>KCRV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Data!$DC$18:$DC$30</c15:sqref>
                        </c15:formulaRef>
                      </c:ext>
                    </c:extLst>
                    <c:numCache>
                      <c:formatCode>0.00E+00</c:formatCode>
                      <c:ptCount val="13"/>
                      <c:pt idx="1">
                        <c:v>3.0521933559913808</c:v>
                      </c:pt>
                      <c:pt idx="4">
                        <c:v>1.551967890858494</c:v>
                      </c:pt>
                      <c:pt idx="7">
                        <c:v>0.7153792316503319</c:v>
                      </c:pt>
                      <c:pt idx="10">
                        <c:v>0.42955601593859394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Data!$DD$18:$DD$30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1">
                        <c:v>6.6422918635398551E-2</c:v>
                      </c:pt>
                      <c:pt idx="4">
                        <c:v>8.0022861768461514E-3</c:v>
                      </c:pt>
                      <c:pt idx="7">
                        <c:v>6.7260230602703974E-2</c:v>
                      </c:pt>
                      <c:pt idx="10">
                        <c:v>5.8151826857046944E-2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9-F581-4B2F-912F-4F1D2B203494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v>KRVC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9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Data!$DC$50:$DC$57</c15:sqref>
                        </c15:formulaRef>
                      </c:ext>
                    </c:extLst>
                    <c:numCache>
                      <c:formatCode>0.00E+00</c:formatCode>
                      <c:ptCount val="8"/>
                      <c:pt idx="2">
                        <c:v>0.47819888256056514</c:v>
                      </c:pt>
                      <c:pt idx="5">
                        <c:v>0.27415298694650941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Data!$DD$50:$DD$57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2">
                        <c:v>-0.11683513048689283</c:v>
                      </c:pt>
                      <c:pt idx="5">
                        <c:v>-0.13690359938862606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581-4B2F-912F-4F1D2B203494}"/>
                  </c:ext>
                </c:extLst>
              </c15:ser>
            </c15:filteredScatterSeries>
            <c15:filteredScatterSeries>
              <c15:ser>
                <c:idx val="10"/>
                <c:order val="8"/>
                <c:tx>
                  <c:v>KRVC 50 bar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9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581-4B2F-912F-4F1D2B203494}"/>
                  </c:ext>
                </c:extLst>
              </c15:ser>
            </c15:filteredScatterSeries>
            <c15:filteredScatterSeries>
              <c15:ser>
                <c:idx val="15"/>
                <c:order val="13"/>
                <c:tx>
                  <c:v>NEL 36 bara N2 23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tar"/>
                  <c:size val="5"/>
                  <c:spPr>
                    <a:noFill/>
                    <a:ln w="1905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N2 35 bar'!$AE$19:$AE$39</c15:sqref>
                        </c15:formulaRef>
                      </c:ext>
                    </c:extLst>
                    <c:numCache>
                      <c:formatCode>0.000</c:formatCode>
                      <c:ptCount val="21"/>
                      <c:pt idx="0">
                        <c:v>6.5486108612944731</c:v>
                      </c:pt>
                      <c:pt idx="3">
                        <c:v>4.8126458924199467</c:v>
                      </c:pt>
                      <c:pt idx="6">
                        <c:v>3.2964354355642711</c:v>
                      </c:pt>
                      <c:pt idx="9">
                        <c:v>1.5998841822638097</c:v>
                      </c:pt>
                      <c:pt idx="12">
                        <c:v>0.59238259129623916</c:v>
                      </c:pt>
                      <c:pt idx="15">
                        <c:v>0.23505069395889699</c:v>
                      </c:pt>
                      <c:pt idx="18">
                        <c:v>5.5255901473251541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N2 35 bar'!$AF$19:$AF$39</c15:sqref>
                        </c15:formulaRef>
                      </c:ext>
                    </c:extLst>
                    <c:numCache>
                      <c:formatCode>0.000</c:formatCode>
                      <c:ptCount val="21"/>
                      <c:pt idx="0">
                        <c:v>0.263575111852977</c:v>
                      </c:pt>
                      <c:pt idx="3">
                        <c:v>0.11369090819430315</c:v>
                      </c:pt>
                      <c:pt idx="6">
                        <c:v>-3.4833696838970133E-3</c:v>
                      </c:pt>
                      <c:pt idx="9">
                        <c:v>7.8761591341290002E-2</c:v>
                      </c:pt>
                      <c:pt idx="12">
                        <c:v>0.1684205327270458</c:v>
                      </c:pt>
                      <c:pt idx="15">
                        <c:v>0.45429997267946604</c:v>
                      </c:pt>
                      <c:pt idx="18">
                        <c:v>-3.6050565517103506E-2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43D-4C20-9DC3-3F2F465629B6}"/>
                  </c:ext>
                </c:extLst>
              </c15:ser>
            </c15:filteredScatterSeries>
            <c15:filteredScatterSeries>
              <c15:ser>
                <c:idx val="16"/>
                <c:order val="14"/>
                <c:tx>
                  <c:v>NEL 28 bara CO2 23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x"/>
                  <c:size val="5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CO2 27 bar'!$AE$20:$AE$37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9.8261757483839318</c:v>
                      </c:pt>
                      <c:pt idx="3">
                        <c:v>8.1028104552670772</c:v>
                      </c:pt>
                      <c:pt idx="6">
                        <c:v>6.5437918775482329</c:v>
                      </c:pt>
                      <c:pt idx="9">
                        <c:v>4.7560138825195368</c:v>
                      </c:pt>
                      <c:pt idx="12">
                        <c:v>3.2797071540623466</c:v>
                      </c:pt>
                      <c:pt idx="15">
                        <c:v>1.5833020177938384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CO2 27 bar'!$AF$20:$AF$37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0.28258620964208941</c:v>
                      </c:pt>
                      <c:pt idx="3">
                        <c:v>0.11725471129465574</c:v>
                      </c:pt>
                      <c:pt idx="6">
                        <c:v>0.20947289805438776</c:v>
                      </c:pt>
                      <c:pt idx="9">
                        <c:v>-2.0360578266372633E-2</c:v>
                      </c:pt>
                      <c:pt idx="12">
                        <c:v>8.4887269224281706E-2</c:v>
                      </c:pt>
                      <c:pt idx="15">
                        <c:v>0.16110641583106536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43D-4C20-9DC3-3F2F465629B6}"/>
                  </c:ext>
                </c:extLst>
              </c15:ser>
            </c15:filteredScatterSeries>
            <c15:filteredScatterSeries>
              <c15:ser>
                <c:idx val="17"/>
                <c:order val="15"/>
                <c:tx>
                  <c:v>NEL 38 bara CO2 23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x"/>
                  <c:size val="5"/>
                  <c:spPr>
                    <a:noFill/>
                    <a:ln w="1905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CO2 37 bar'!$AE$19:$AE$44</c15:sqref>
                        </c15:formulaRef>
                      </c:ext>
                    </c:extLst>
                    <c:numCache>
                      <c:formatCode>0.000</c:formatCode>
                      <c:ptCount val="26"/>
                      <c:pt idx="0">
                        <c:v>12.226821284500971</c:v>
                      </c:pt>
                      <c:pt idx="3">
                        <c:v>10.915970537168159</c:v>
                      </c:pt>
                      <c:pt idx="6">
                        <c:v>9.3974231255852168</c:v>
                      </c:pt>
                      <c:pt idx="11">
                        <c:v>7.6467582253663027</c:v>
                      </c:pt>
                      <c:pt idx="14">
                        <c:v>6.256302474221175</c:v>
                      </c:pt>
                      <c:pt idx="17">
                        <c:v>4.5961922939520612</c:v>
                      </c:pt>
                      <c:pt idx="20">
                        <c:v>3.1498218815023002</c:v>
                      </c:pt>
                      <c:pt idx="23">
                        <c:v>1.5468410535624288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CO2 37 bar'!$AF$19:$AF$44</c15:sqref>
                        </c15:formulaRef>
                      </c:ext>
                    </c:extLst>
                    <c:numCache>
                      <c:formatCode>0.000</c:formatCode>
                      <c:ptCount val="26"/>
                      <c:pt idx="0">
                        <c:v>0.19392283998725024</c:v>
                      </c:pt>
                      <c:pt idx="3">
                        <c:v>4.9377256953519022E-2</c:v>
                      </c:pt>
                      <c:pt idx="6">
                        <c:v>0.1393838396261412</c:v>
                      </c:pt>
                      <c:pt idx="11">
                        <c:v>9.9800150567375054E-2</c:v>
                      </c:pt>
                      <c:pt idx="14">
                        <c:v>0.11257521244027779</c:v>
                      </c:pt>
                      <c:pt idx="17">
                        <c:v>0.11461247739519705</c:v>
                      </c:pt>
                      <c:pt idx="20">
                        <c:v>4.017659850306244E-2</c:v>
                      </c:pt>
                      <c:pt idx="23">
                        <c:v>0.23360363852216662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43D-4C20-9DC3-3F2F465629B6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Reference mass flow (kg/s)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1"/>
        <c:crossBetween val="midCat"/>
      </c:valAx>
      <c:valAx>
        <c:axId val="98234976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Error MUT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E</a:t>
            </a:r>
            <a:r>
              <a:rPr lang="en-GB" sz="1800" baseline="-25000"/>
              <a:t>n</a:t>
            </a:r>
            <a:r>
              <a:rPr lang="en-GB" sz="1800"/>
              <a:t> for 3-inch Coriolis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NEL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Data!$AD$13:$AD$30</c:f>
              <c:numCache>
                <c:formatCode>0.00</c:formatCode>
                <c:ptCount val="18"/>
                <c:pt idx="0">
                  <c:v>7.7722790462822759</c:v>
                </c:pt>
                <c:pt idx="3">
                  <c:v>5.4358181354638093</c:v>
                </c:pt>
                <c:pt idx="6">
                  <c:v>3.1134241763286936</c:v>
                </c:pt>
                <c:pt idx="9">
                  <c:v>1.5649296099458034</c:v>
                </c:pt>
                <c:pt idx="12">
                  <c:v>0.78419226356274019</c:v>
                </c:pt>
                <c:pt idx="15">
                  <c:v>0.39579488214526864</c:v>
                </c:pt>
              </c:numCache>
              <c:extLst xmlns:c15="http://schemas.microsoft.com/office/drawing/2012/chart"/>
            </c:numRef>
          </c:xVal>
          <c:yVal>
            <c:numRef>
              <c:f>Data!$DJ$13:$DJ$30</c:f>
              <c:numCache>
                <c:formatCode>0.00</c:formatCode>
                <c:ptCount val="18"/>
                <c:pt idx="0">
                  <c:v>0.16895615725951929</c:v>
                </c:pt>
                <c:pt idx="3">
                  <c:v>0.20705238740847559</c:v>
                </c:pt>
                <c:pt idx="6">
                  <c:v>0.32859888884932148</c:v>
                </c:pt>
                <c:pt idx="9">
                  <c:v>0.39230045136572794</c:v>
                </c:pt>
                <c:pt idx="12">
                  <c:v>0.12920871318019489</c:v>
                </c:pt>
                <c:pt idx="15">
                  <c:v>0.8005270562373219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D87-4F23-8FC8-5A114E2C5AE3}"/>
            </c:ext>
          </c:extLst>
        </c:ser>
        <c:ser>
          <c:idx val="1"/>
          <c:order val="1"/>
          <c:tx>
            <c:v>Force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Data!$BJ$13:$BJ$30</c:f>
              <c:numCache>
                <c:formatCode>0.00</c:formatCode>
                <c:ptCount val="18"/>
                <c:pt idx="3">
                  <c:v>5.3242862678161451</c:v>
                </c:pt>
                <c:pt idx="6">
                  <c:v>3.0503366216184986</c:v>
                </c:pt>
                <c:pt idx="9">
                  <c:v>1.5252615882749814</c:v>
                </c:pt>
              </c:numCache>
              <c:extLst xmlns:c15="http://schemas.microsoft.com/office/drawing/2012/chart"/>
            </c:numRef>
          </c:xVal>
          <c:yVal>
            <c:numRef>
              <c:f>Data!$DM$13:$DM$30</c:f>
              <c:numCache>
                <c:formatCode>0.00</c:formatCode>
                <c:ptCount val="18"/>
                <c:pt idx="3">
                  <c:v>0.15258663397339733</c:v>
                </c:pt>
                <c:pt idx="6">
                  <c:v>1.0311868011863696</c:v>
                </c:pt>
                <c:pt idx="9">
                  <c:v>0.92727906776661961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D87-4F23-8FC8-5A114E2C5AE3}"/>
            </c:ext>
          </c:extLst>
        </c:ser>
        <c:ser>
          <c:idx val="7"/>
          <c:order val="2"/>
          <c:tx>
            <c:v>DNV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Data!$CP$13:$CP$30</c:f>
              <c:numCache>
                <c:formatCode>0.00</c:formatCode>
                <c:ptCount val="18"/>
                <c:pt idx="0">
                  <c:v>6.7172711210124172</c:v>
                </c:pt>
                <c:pt idx="3">
                  <c:v>5.4108703101817675</c:v>
                </c:pt>
                <c:pt idx="6">
                  <c:v>2.9928192700269487</c:v>
                </c:pt>
                <c:pt idx="9">
                  <c:v>1.5657124743546975</c:v>
                </c:pt>
                <c:pt idx="12">
                  <c:v>0.64656619973792362</c:v>
                </c:pt>
                <c:pt idx="15">
                  <c:v>0.46331714973191929</c:v>
                </c:pt>
              </c:numCache>
            </c:numRef>
          </c:xVal>
          <c:yVal>
            <c:numRef>
              <c:f>Data!$DP$13:$DP$30</c:f>
              <c:numCache>
                <c:formatCode>0.00</c:formatCode>
                <c:ptCount val="18"/>
                <c:pt idx="0">
                  <c:v>0.16895615725951932</c:v>
                </c:pt>
                <c:pt idx="3">
                  <c:v>0.31993463712211651</c:v>
                </c:pt>
                <c:pt idx="6">
                  <c:v>0.70922495244254757</c:v>
                </c:pt>
                <c:pt idx="9">
                  <c:v>0.58552607229800002</c:v>
                </c:pt>
                <c:pt idx="12">
                  <c:v>0.12920871318019503</c:v>
                </c:pt>
                <c:pt idx="15">
                  <c:v>0.8005270562373219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D87-4F23-8FC8-5A114E2C5AE3}"/>
            </c:ext>
          </c:extLst>
        </c:ser>
        <c:ser>
          <c:idx val="3"/>
          <c:order val="3"/>
          <c:tx>
            <c:v>NEL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Data!$AD$40:$AD$57</c:f>
              <c:numCache>
                <c:formatCode>0.00</c:formatCode>
                <c:ptCount val="18"/>
                <c:pt idx="0">
                  <c:v>4.8687009680114341</c:v>
                </c:pt>
                <c:pt idx="3">
                  <c:v>3.4099769410497269</c:v>
                </c:pt>
                <c:pt idx="6">
                  <c:v>1.9547833556650034</c:v>
                </c:pt>
                <c:pt idx="9">
                  <c:v>0.97681481879033238</c:v>
                </c:pt>
                <c:pt idx="12">
                  <c:v>0.49354689282644532</c:v>
                </c:pt>
                <c:pt idx="15">
                  <c:v>0.25443030919651199</c:v>
                </c:pt>
              </c:numCache>
              <c:extLst xmlns:c15="http://schemas.microsoft.com/office/drawing/2012/chart"/>
            </c:numRef>
          </c:xVal>
          <c:yVal>
            <c:numRef>
              <c:f>Data!$DJ$40:$DJ$57</c:f>
              <c:numCache>
                <c:formatCode>0.00</c:formatCode>
                <c:ptCount val="18"/>
                <c:pt idx="0">
                  <c:v>0.39355794267937544</c:v>
                </c:pt>
                <c:pt idx="3">
                  <c:v>0.475421232905335</c:v>
                </c:pt>
                <c:pt idx="6">
                  <c:v>0.32868181895471582</c:v>
                </c:pt>
                <c:pt idx="9">
                  <c:v>1.8370754525736128E-2</c:v>
                </c:pt>
                <c:pt idx="12">
                  <c:v>0.10635310580101397</c:v>
                </c:pt>
                <c:pt idx="15">
                  <c:v>0.24992902341889914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D87-4F23-8FC8-5A114E2C5AE3}"/>
            </c:ext>
          </c:extLst>
        </c:ser>
        <c:ser>
          <c:idx val="4"/>
          <c:order val="4"/>
          <c:tx>
            <c:v>Force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Data!$BJ$40:$BJ$57</c:f>
              <c:numCache>
                <c:formatCode>0.00</c:formatCode>
                <c:ptCount val="18"/>
                <c:pt idx="3">
                  <c:v>3.3332560733290122</c:v>
                </c:pt>
                <c:pt idx="6">
                  <c:v>1.9099364658821576</c:v>
                </c:pt>
                <c:pt idx="9">
                  <c:v>0.95640703643258929</c:v>
                </c:pt>
                <c:pt idx="12">
                  <c:v>0.47822025809487373</c:v>
                </c:pt>
                <c:pt idx="15">
                  <c:v>0.23911609379345197</c:v>
                </c:pt>
              </c:numCache>
              <c:extLst xmlns:c15="http://schemas.microsoft.com/office/drawing/2012/chart"/>
            </c:numRef>
          </c:xVal>
          <c:yVal>
            <c:numRef>
              <c:f>Data!$DM$40:$DM$57</c:f>
              <c:numCache>
                <c:formatCode>0.00</c:formatCode>
                <c:ptCount val="18"/>
                <c:pt idx="3">
                  <c:v>0.32984128483883307</c:v>
                </c:pt>
                <c:pt idx="6">
                  <c:v>0.92261561360997657</c:v>
                </c:pt>
                <c:pt idx="9">
                  <c:v>1.2063853398689333</c:v>
                </c:pt>
                <c:pt idx="12">
                  <c:v>0.64163086683713733</c:v>
                </c:pt>
                <c:pt idx="15">
                  <c:v>0.60659514317375307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D87-4F23-8FC8-5A114E2C5AE3}"/>
            </c:ext>
          </c:extLst>
        </c:ser>
        <c:ser>
          <c:idx val="6"/>
          <c:order val="5"/>
          <c:tx>
            <c:v>DNV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Data!$CP$40:$CP$57</c:f>
              <c:numCache>
                <c:formatCode>0.00</c:formatCode>
                <c:ptCount val="18"/>
                <c:pt idx="0">
                  <c:v>4.6371347141034711</c:v>
                </c:pt>
                <c:pt idx="3">
                  <c:v>3.5427122243414639</c:v>
                </c:pt>
                <c:pt idx="6">
                  <c:v>2.1424235069826523</c:v>
                </c:pt>
                <c:pt idx="9">
                  <c:v>1.1446477990148758</c:v>
                </c:pt>
                <c:pt idx="12">
                  <c:v>0.46282949676037638</c:v>
                </c:pt>
                <c:pt idx="15">
                  <c:v>0.32891255784956436</c:v>
                </c:pt>
              </c:numCache>
            </c:numRef>
          </c:xVal>
          <c:yVal>
            <c:numRef>
              <c:f>Data!$DP$40:$DP$57</c:f>
              <c:numCache>
                <c:formatCode>0.00</c:formatCode>
                <c:ptCount val="18"/>
                <c:pt idx="0">
                  <c:v>0.39355794267937538</c:v>
                </c:pt>
                <c:pt idx="3">
                  <c:v>0.11643232122917115</c:v>
                </c:pt>
                <c:pt idx="6">
                  <c:v>0.5676789431763789</c:v>
                </c:pt>
                <c:pt idx="9">
                  <c:v>1.140127320967828</c:v>
                </c:pt>
                <c:pt idx="12">
                  <c:v>0.66811540415916049</c:v>
                </c:pt>
                <c:pt idx="15">
                  <c:v>0.37792911461268247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D87-4F23-8FC8-5A114E2C5AE3}"/>
            </c:ext>
          </c:extLst>
        </c:ser>
        <c:ser>
          <c:idx val="12"/>
          <c:order val="9"/>
          <c:tx>
            <c:v>Warning level</c:v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Sheet2!$C$8:$C$9</c:f>
              <c:numCache>
                <c:formatCode>0.00E+00</c:formatCode>
                <c:ptCount val="2"/>
                <c:pt idx="0">
                  <c:v>0</c:v>
                </c:pt>
                <c:pt idx="1">
                  <c:v>11</c:v>
                </c:pt>
              </c:numCache>
            </c:numRef>
          </c:xVal>
          <c:yVal>
            <c:numRef>
              <c:f>Sheet2!$D$8:$D$9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D87-4F23-8FC8-5A114E2C5AE3}"/>
            </c:ext>
          </c:extLst>
        </c:ser>
        <c:ser>
          <c:idx val="13"/>
          <c:order val="10"/>
          <c:tx>
            <c:v>Critical level</c:v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Sheet2!$C$8:$C$9</c:f>
              <c:numCache>
                <c:formatCode>0.00E+00</c:formatCode>
                <c:ptCount val="2"/>
                <c:pt idx="0">
                  <c:v>0</c:v>
                </c:pt>
                <c:pt idx="1">
                  <c:v>11</c:v>
                </c:pt>
              </c:numCache>
            </c:numRef>
          </c:xVal>
          <c:yVal>
            <c:numRef>
              <c:f>Sheet2!$E$8:$E$9</c:f>
              <c:numCache>
                <c:formatCode>General</c:formatCode>
                <c:ptCount val="2"/>
                <c:pt idx="0">
                  <c:v>1.2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D87-4F23-8FC8-5A114E2C5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6"/>
                <c:tx>
                  <c:v>KCRV 10 bar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Data!$DC$18:$DC$30</c15:sqref>
                        </c15:formulaRef>
                      </c:ext>
                    </c:extLst>
                    <c:numCache>
                      <c:formatCode>0.00E+00</c:formatCode>
                      <c:ptCount val="13"/>
                      <c:pt idx="1">
                        <c:v>3.0521933559913808</c:v>
                      </c:pt>
                      <c:pt idx="4">
                        <c:v>1.551967890858494</c:v>
                      </c:pt>
                      <c:pt idx="7">
                        <c:v>0.7153792316503319</c:v>
                      </c:pt>
                      <c:pt idx="10">
                        <c:v>0.42955601593859394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Data!$DD$18:$DD$30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1">
                        <c:v>6.6422918635398551E-2</c:v>
                      </c:pt>
                      <c:pt idx="4">
                        <c:v>8.0022861768461514E-3</c:v>
                      </c:pt>
                      <c:pt idx="7">
                        <c:v>6.7260230602703974E-2</c:v>
                      </c:pt>
                      <c:pt idx="10">
                        <c:v>5.8151826857046944E-2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9-9D87-4F23-8FC8-5A114E2C5AE3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v>KRVC 30 bar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9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Data!$DC$50:$DC$57</c15:sqref>
                        </c15:formulaRef>
                      </c:ext>
                    </c:extLst>
                    <c:numCache>
                      <c:formatCode>0.00E+00</c:formatCode>
                      <c:ptCount val="8"/>
                      <c:pt idx="2">
                        <c:v>0.47819888256056514</c:v>
                      </c:pt>
                      <c:pt idx="5">
                        <c:v>0.27415298694650941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Data!$DD$50:$DD$57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2">
                        <c:v>-0.11683513048689283</c:v>
                      </c:pt>
                      <c:pt idx="5">
                        <c:v>-0.13690359938862606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D87-4F23-8FC8-5A114E2C5AE3}"/>
                  </c:ext>
                </c:extLst>
              </c15:ser>
            </c15:filteredScatterSeries>
            <c15:filteredScatterSeries>
              <c15:ser>
                <c:idx val="10"/>
                <c:order val="8"/>
                <c:tx>
                  <c:v>KRVC 50 bar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9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D87-4F23-8FC8-5A114E2C5AE3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Reference mass flow (kg/s)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0.60000000000000009"/>
        <c:crossBetween val="midCat"/>
      </c:valAx>
      <c:valAx>
        <c:axId val="98234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En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Mass Error</a:t>
            </a:r>
            <a:r>
              <a:rPr lang="en-GB" sz="1800" baseline="0"/>
              <a:t> for 3</a:t>
            </a:r>
            <a:r>
              <a:rPr lang="en-GB" sz="1800"/>
              <a:t>-inch Coriolis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NEL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Data!$AD$13:$AD$30</c:f>
              <c:numCache>
                <c:formatCode>0.00</c:formatCode>
                <c:ptCount val="18"/>
                <c:pt idx="0">
                  <c:v>7.7722790462822759</c:v>
                </c:pt>
                <c:pt idx="3">
                  <c:v>5.4358181354638093</c:v>
                </c:pt>
                <c:pt idx="6">
                  <c:v>3.1134241763286936</c:v>
                </c:pt>
                <c:pt idx="9">
                  <c:v>1.5649296099458034</c:v>
                </c:pt>
                <c:pt idx="12">
                  <c:v>0.78419226356274019</c:v>
                </c:pt>
                <c:pt idx="15">
                  <c:v>0.39579488214526864</c:v>
                </c:pt>
              </c:numCache>
            </c:numRef>
          </c:xVal>
          <c:yVal>
            <c:numRef>
              <c:f>Data!$W$13:$W$30</c:f>
              <c:numCache>
                <c:formatCode>0.000</c:formatCode>
                <c:ptCount val="18"/>
                <c:pt idx="0">
                  <c:v>0.13677365062709518</c:v>
                </c:pt>
                <c:pt idx="3">
                  <c:v>0.14193107362070129</c:v>
                </c:pt>
                <c:pt idx="6">
                  <c:v>0.17016216797385009</c:v>
                </c:pt>
                <c:pt idx="9">
                  <c:v>0.1287746410285274</c:v>
                </c:pt>
                <c:pt idx="12">
                  <c:v>0.10490170893416735</c:v>
                </c:pt>
                <c:pt idx="15">
                  <c:v>0.3108268345986861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85-40D8-A80B-EEAA7B2FA94F}"/>
            </c:ext>
          </c:extLst>
        </c:ser>
        <c:ser>
          <c:idx val="1"/>
          <c:order val="1"/>
          <c:tx>
            <c:v>Force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Data!$BJ$13:$BJ$30</c:f>
              <c:numCache>
                <c:formatCode>0.00</c:formatCode>
                <c:ptCount val="18"/>
                <c:pt idx="3">
                  <c:v>5.3242862678161451</c:v>
                </c:pt>
                <c:pt idx="6">
                  <c:v>3.0503366216184986</c:v>
                </c:pt>
                <c:pt idx="9">
                  <c:v>1.5252615882749814</c:v>
                </c:pt>
              </c:numCache>
            </c:numRef>
          </c:xVal>
          <c:yVal>
            <c:numRef>
              <c:f>Data!$BA$13:$BA$30</c:f>
              <c:numCache>
                <c:formatCode>0.000</c:formatCode>
                <c:ptCount val="18"/>
                <c:pt idx="3">
                  <c:v>9.7914100023102899E-2</c:v>
                </c:pt>
                <c:pt idx="4">
                  <c:v>0.10150513793698393</c:v>
                </c:pt>
                <c:pt idx="5">
                  <c:v>0.12472356655637332</c:v>
                </c:pt>
                <c:pt idx="6">
                  <c:v>-0.17087674902104016</c:v>
                </c:pt>
                <c:pt idx="7">
                  <c:v>-0.16295681863003972</c:v>
                </c:pt>
                <c:pt idx="8">
                  <c:v>-0.15348453183962651</c:v>
                </c:pt>
                <c:pt idx="9">
                  <c:v>-0.17991752334724681</c:v>
                </c:pt>
                <c:pt idx="10">
                  <c:v>-0.19055686164146682</c:v>
                </c:pt>
                <c:pt idx="11">
                  <c:v>-0.19869057049132113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85-40D8-A80B-EEAA7B2FA94F}"/>
            </c:ext>
          </c:extLst>
        </c:ser>
        <c:ser>
          <c:idx val="7"/>
          <c:order val="2"/>
          <c:tx>
            <c:v>DNV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Data!$CP$13:$CP$30</c:f>
              <c:numCache>
                <c:formatCode>0.00</c:formatCode>
                <c:ptCount val="18"/>
                <c:pt idx="0">
                  <c:v>6.7172711210124172</c:v>
                </c:pt>
                <c:pt idx="3">
                  <c:v>5.4108703101817675</c:v>
                </c:pt>
                <c:pt idx="6">
                  <c:v>2.9928192700269487</c:v>
                </c:pt>
                <c:pt idx="9">
                  <c:v>1.5657124743546975</c:v>
                </c:pt>
                <c:pt idx="12">
                  <c:v>0.64656619973792362</c:v>
                </c:pt>
                <c:pt idx="15">
                  <c:v>0.46331714973191929</c:v>
                </c:pt>
              </c:numCache>
            </c:numRef>
          </c:xVal>
          <c:yVal>
            <c:numRef>
              <c:f>Data!$CI$13:$CI$30</c:f>
              <c:numCache>
                <c:formatCode>0.000</c:formatCode>
                <c:ptCount val="18"/>
                <c:pt idx="0">
                  <c:v>0.21226393355126091</c:v>
                </c:pt>
                <c:pt idx="3">
                  <c:v>1.2678959556414406E-2</c:v>
                </c:pt>
                <c:pt idx="6">
                  <c:v>0.18182965505238999</c:v>
                </c:pt>
                <c:pt idx="9">
                  <c:v>0.13020546620771475</c:v>
                </c:pt>
                <c:pt idx="12">
                  <c:v>4.9888015477662813E-2</c:v>
                </c:pt>
                <c:pt idx="15">
                  <c:v>-3.8328310445799617E-2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C85-40D8-A80B-EEAA7B2FA94F}"/>
            </c:ext>
          </c:extLst>
        </c:ser>
        <c:ser>
          <c:idx val="12"/>
          <c:order val="9"/>
          <c:tx>
            <c:v>NEL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Data!$AC$9</c:f>
                <c:numCache>
                  <c:formatCode>General</c:formatCode>
                  <c:ptCount val="1"/>
                  <c:pt idx="0">
                    <c:v>0.35968373006967252</c:v>
                  </c:pt>
                </c:numCache>
              </c:numRef>
            </c:plus>
            <c:minus>
              <c:numRef>
                <c:f>Data!$AC$9</c:f>
                <c:numCache>
                  <c:formatCode>General</c:formatCode>
                  <c:ptCount val="1"/>
                  <c:pt idx="0">
                    <c:v>0.35968373006967252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Sheet2!$C$13</c:f>
              <c:numCache>
                <c:formatCode>0.00</c:formatCode>
                <c:ptCount val="1"/>
                <c:pt idx="0">
                  <c:v>8.5</c:v>
                </c:pt>
              </c:numCache>
            </c:numRef>
          </c:xVal>
          <c:yVal>
            <c:numRef>
              <c:f>Sheet2!$D$13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85-40D8-A80B-EEAA7B2FA94F}"/>
            </c:ext>
          </c:extLst>
        </c:ser>
        <c:ser>
          <c:idx val="13"/>
          <c:order val="10"/>
          <c:tx>
            <c:v>Force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Data!$BI$9</c:f>
                <c:numCache>
                  <c:formatCode>General</c:formatCode>
                  <c:ptCount val="1"/>
                  <c:pt idx="0">
                    <c:v>0.28780447001045129</c:v>
                  </c:pt>
                </c:numCache>
              </c:numRef>
            </c:plus>
            <c:minus>
              <c:numRef>
                <c:f>Data!$BI$9</c:f>
                <c:numCache>
                  <c:formatCode>General</c:formatCode>
                  <c:ptCount val="1"/>
                  <c:pt idx="0">
                    <c:v>0.28780447001045129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Sheet2!$C$14</c:f>
              <c:numCache>
                <c:formatCode>0.00</c:formatCode>
                <c:ptCount val="1"/>
                <c:pt idx="0">
                  <c:v>9</c:v>
                </c:pt>
              </c:numCache>
            </c:numRef>
          </c:xVal>
          <c:yVal>
            <c:numRef>
              <c:f>Sheet2!$D$14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C85-40D8-A80B-EEAA7B2FA94F}"/>
            </c:ext>
          </c:extLst>
        </c:ser>
        <c:ser>
          <c:idx val="14"/>
          <c:order val="11"/>
          <c:tx>
            <c:v>DNV Unc.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Data!$CO$9</c:f>
                <c:numCache>
                  <c:formatCode>General</c:formatCode>
                  <c:ptCount val="1"/>
                  <c:pt idx="0">
                    <c:v>0.27572503983825764</c:v>
                  </c:pt>
                </c:numCache>
              </c:numRef>
            </c:plus>
            <c:minus>
              <c:numRef>
                <c:f>Data!$CO$9</c:f>
                <c:numCache>
                  <c:formatCode>General</c:formatCode>
                  <c:ptCount val="1"/>
                  <c:pt idx="0">
                    <c:v>0.27572503983825764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Sheet2!$C$15</c:f>
              <c:numCache>
                <c:formatCode>0.00</c:formatCode>
                <c:ptCount val="1"/>
                <c:pt idx="0">
                  <c:v>9.5</c:v>
                </c:pt>
              </c:numCache>
              <c:extLst xmlns:c15="http://schemas.microsoft.com/office/drawing/2012/chart"/>
            </c:numRef>
          </c:xVal>
          <c:yVal>
            <c:numRef>
              <c:f>Sheet2!$D$15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7C85-40D8-A80B-EEAA7B2F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NEL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rgbClr val="00B0F0"/>
                    </a:solidFill>
                    <a:ln w="63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Data!$AD$40:$AD$57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4.8687009680114341</c:v>
                      </c:pt>
                      <c:pt idx="3">
                        <c:v>3.4099769410497269</c:v>
                      </c:pt>
                      <c:pt idx="6">
                        <c:v>1.9547833556650034</c:v>
                      </c:pt>
                      <c:pt idx="9">
                        <c:v>0.97681481879033238</c:v>
                      </c:pt>
                      <c:pt idx="12">
                        <c:v>0.49354689282644532</c:v>
                      </c:pt>
                      <c:pt idx="15">
                        <c:v>0.25443030919651199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Data!$W$40:$W$57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0.23752868385534689</c:v>
                      </c:pt>
                      <c:pt idx="3">
                        <c:v>0.18205485376734054</c:v>
                      </c:pt>
                      <c:pt idx="6">
                        <c:v>0.14708425771983724</c:v>
                      </c:pt>
                      <c:pt idx="9">
                        <c:v>-5.4834697402907306E-2</c:v>
                      </c:pt>
                      <c:pt idx="12">
                        <c:v>-0.1506964290092192</c:v>
                      </c:pt>
                      <c:pt idx="15">
                        <c:v>-5.2923531586678223E-2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7C85-40D8-A80B-EEAA7B2FA94F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Force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accent4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Data!$BJ$40:$BJ$57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3">
                        <c:v>3.3332560733290122</c:v>
                      </c:pt>
                      <c:pt idx="6">
                        <c:v>1.9099364658821576</c:v>
                      </c:pt>
                      <c:pt idx="9">
                        <c:v>0.95640703643258929</c:v>
                      </c:pt>
                      <c:pt idx="12">
                        <c:v>0.47822025809487373</c:v>
                      </c:pt>
                      <c:pt idx="15">
                        <c:v>0.23911609379345197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Data!$BC$40:$BC$57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3">
                        <c:v>-4.561018965830644E-2</c:v>
                      </c:pt>
                      <c:pt idx="6">
                        <c:v>-0.19032310914915077</c:v>
                      </c:pt>
                      <c:pt idx="9">
                        <c:v>-0.32619508281422188</c:v>
                      </c:pt>
                      <c:pt idx="12">
                        <c:v>-0.28628625758407034</c:v>
                      </c:pt>
                      <c:pt idx="15">
                        <c:v>-0.27529590966746653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C85-40D8-A80B-EEAA7B2FA94F}"/>
                  </c:ext>
                </c:extLst>
              </c15:ser>
            </c15:filteredScatterSeries>
            <c15:filteredScatterSeries>
              <c15:ser>
                <c:idx val="6"/>
                <c:order val="5"/>
                <c:tx>
                  <c:v>DNV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accent3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Data!$CP$40:$CP$57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4.6371347141034711</c:v>
                      </c:pt>
                      <c:pt idx="3">
                        <c:v>3.5427122243414639</c:v>
                      </c:pt>
                      <c:pt idx="6">
                        <c:v>2.1424235069826523</c:v>
                      </c:pt>
                      <c:pt idx="9">
                        <c:v>1.1446477990148758</c:v>
                      </c:pt>
                      <c:pt idx="12">
                        <c:v>0.46282949676037638</c:v>
                      </c:pt>
                      <c:pt idx="15">
                        <c:v>0.32891255784956436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Data!$CI$40:$CI$57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-4.5709592299222994E-2</c:v>
                      </c:pt>
                      <c:pt idx="3">
                        <c:v>1.251231068323152E-2</c:v>
                      </c:pt>
                      <c:pt idx="6">
                        <c:v>0.12982435450260174</c:v>
                      </c:pt>
                      <c:pt idx="9">
                        <c:v>0.13624897782207901</c:v>
                      </c:pt>
                      <c:pt idx="12">
                        <c:v>-4.0758486112558228E-3</c:v>
                      </c:pt>
                      <c:pt idx="15">
                        <c:v>-7.2105537168527328E-2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C85-40D8-A80B-EEAA7B2FA94F}"/>
                  </c:ext>
                </c:extLst>
              </c15:ser>
            </c15:filteredScatterSeries>
            <c15:filteredScatterSeries>
              <c15:ser>
                <c:idx val="2"/>
                <c:order val="6"/>
                <c:tx>
                  <c:v>KCRV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Data!$DC$18:$DC$30</c15:sqref>
                        </c15:formulaRef>
                      </c:ext>
                    </c:extLst>
                    <c:numCache>
                      <c:formatCode>0.00E+00</c:formatCode>
                      <c:ptCount val="13"/>
                      <c:pt idx="1">
                        <c:v>3.0521933559913808</c:v>
                      </c:pt>
                      <c:pt idx="4">
                        <c:v>1.551967890858494</c:v>
                      </c:pt>
                      <c:pt idx="7">
                        <c:v>0.7153792316503319</c:v>
                      </c:pt>
                      <c:pt idx="10">
                        <c:v>0.42955601593859394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Data!$DD$18:$DD$30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1">
                        <c:v>6.6422918635398551E-2</c:v>
                      </c:pt>
                      <c:pt idx="4">
                        <c:v>8.0022861768461514E-3</c:v>
                      </c:pt>
                      <c:pt idx="7">
                        <c:v>6.7260230602703974E-2</c:v>
                      </c:pt>
                      <c:pt idx="10">
                        <c:v>5.8151826857046944E-2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C85-40D8-A80B-EEAA7B2FA94F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v>KRVC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9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Data!$DC$50:$DC$57</c15:sqref>
                        </c15:formulaRef>
                      </c:ext>
                    </c:extLst>
                    <c:numCache>
                      <c:formatCode>0.00E+00</c:formatCode>
                      <c:ptCount val="8"/>
                      <c:pt idx="2">
                        <c:v>0.47819888256056514</c:v>
                      </c:pt>
                      <c:pt idx="5">
                        <c:v>0.27415298694650941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Data!$DD$50:$DD$57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2">
                        <c:v>-0.11683513048689283</c:v>
                      </c:pt>
                      <c:pt idx="5">
                        <c:v>-0.13690359938862606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C85-40D8-A80B-EEAA7B2FA94F}"/>
                  </c:ext>
                </c:extLst>
              </c15:ser>
            </c15:filteredScatterSeries>
            <c15:filteredScatterSeries>
              <c15:ser>
                <c:idx val="10"/>
                <c:order val="8"/>
                <c:tx>
                  <c:v>KRVC 50 bar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9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C85-40D8-A80B-EEAA7B2FA94F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Reference mass flow (kg/s)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1"/>
        <c:crossBetween val="midCat"/>
      </c:valAx>
      <c:valAx>
        <c:axId val="98234976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Error MUT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Mass Error</a:t>
            </a:r>
            <a:r>
              <a:rPr lang="en-GB" sz="1800" baseline="0"/>
              <a:t> for 3</a:t>
            </a:r>
            <a:r>
              <a:rPr lang="en-GB" sz="1800"/>
              <a:t>-inch Coriolis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3"/>
          <c:tx>
            <c:v>NEL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Data!$AD$40:$AD$57</c:f>
              <c:numCache>
                <c:formatCode>0.00</c:formatCode>
                <c:ptCount val="18"/>
                <c:pt idx="0">
                  <c:v>4.8687009680114341</c:v>
                </c:pt>
                <c:pt idx="3">
                  <c:v>3.4099769410497269</c:v>
                </c:pt>
                <c:pt idx="6">
                  <c:v>1.9547833556650034</c:v>
                </c:pt>
                <c:pt idx="9">
                  <c:v>0.97681481879033238</c:v>
                </c:pt>
                <c:pt idx="12">
                  <c:v>0.49354689282644532</c:v>
                </c:pt>
                <c:pt idx="15">
                  <c:v>0.25443030919651199</c:v>
                </c:pt>
              </c:numCache>
            </c:numRef>
          </c:xVal>
          <c:yVal>
            <c:numRef>
              <c:f>Data!$W$40:$W$57</c:f>
              <c:numCache>
                <c:formatCode>0.000</c:formatCode>
                <c:ptCount val="18"/>
                <c:pt idx="0">
                  <c:v>0.23752868385534689</c:v>
                </c:pt>
                <c:pt idx="3">
                  <c:v>0.18205485376734054</c:v>
                </c:pt>
                <c:pt idx="6">
                  <c:v>0.14708425771983724</c:v>
                </c:pt>
                <c:pt idx="9">
                  <c:v>-5.4834697402907306E-2</c:v>
                </c:pt>
                <c:pt idx="12">
                  <c:v>-0.1506964290092192</c:v>
                </c:pt>
                <c:pt idx="15">
                  <c:v>-5.2923531586678223E-2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AD-461C-9CA2-340F3A80245F}"/>
            </c:ext>
          </c:extLst>
        </c:ser>
        <c:ser>
          <c:idx val="4"/>
          <c:order val="4"/>
          <c:tx>
            <c:v>Force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Data!$BJ$40:$BJ$57</c:f>
              <c:numCache>
                <c:formatCode>0.00</c:formatCode>
                <c:ptCount val="18"/>
                <c:pt idx="3">
                  <c:v>3.3332560733290122</c:v>
                </c:pt>
                <c:pt idx="6">
                  <c:v>1.9099364658821576</c:v>
                </c:pt>
                <c:pt idx="9">
                  <c:v>0.95640703643258929</c:v>
                </c:pt>
                <c:pt idx="12">
                  <c:v>0.47822025809487373</c:v>
                </c:pt>
                <c:pt idx="15">
                  <c:v>0.23911609379345197</c:v>
                </c:pt>
              </c:numCache>
            </c:numRef>
          </c:xVal>
          <c:yVal>
            <c:numRef>
              <c:f>Data!$BC$40:$BC$57</c:f>
              <c:numCache>
                <c:formatCode>0.000</c:formatCode>
                <c:ptCount val="18"/>
                <c:pt idx="3">
                  <c:v>-4.561018965830644E-2</c:v>
                </c:pt>
                <c:pt idx="6">
                  <c:v>-0.19032310914915077</c:v>
                </c:pt>
                <c:pt idx="9">
                  <c:v>-0.32619508281422188</c:v>
                </c:pt>
                <c:pt idx="12">
                  <c:v>-0.28628625758407034</c:v>
                </c:pt>
                <c:pt idx="15">
                  <c:v>-0.27529590966746653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4AD-461C-9CA2-340F3A80245F}"/>
            </c:ext>
          </c:extLst>
        </c:ser>
        <c:ser>
          <c:idx val="6"/>
          <c:order val="5"/>
          <c:tx>
            <c:v>DNV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Data!$CP$40:$CP$57</c:f>
              <c:numCache>
                <c:formatCode>0.00</c:formatCode>
                <c:ptCount val="18"/>
                <c:pt idx="0">
                  <c:v>4.6371347141034711</c:v>
                </c:pt>
                <c:pt idx="3">
                  <c:v>3.5427122243414639</c:v>
                </c:pt>
                <c:pt idx="6">
                  <c:v>2.1424235069826523</c:v>
                </c:pt>
                <c:pt idx="9">
                  <c:v>1.1446477990148758</c:v>
                </c:pt>
                <c:pt idx="12">
                  <c:v>0.46282949676037638</c:v>
                </c:pt>
                <c:pt idx="15">
                  <c:v>0.32891255784956436</c:v>
                </c:pt>
              </c:numCache>
            </c:numRef>
          </c:xVal>
          <c:yVal>
            <c:numRef>
              <c:f>Data!$CI$40:$CI$57</c:f>
              <c:numCache>
                <c:formatCode>0.000</c:formatCode>
                <c:ptCount val="18"/>
                <c:pt idx="0">
                  <c:v>-4.5709592299222994E-2</c:v>
                </c:pt>
                <c:pt idx="3">
                  <c:v>1.251231068323152E-2</c:v>
                </c:pt>
                <c:pt idx="6">
                  <c:v>0.12982435450260174</c:v>
                </c:pt>
                <c:pt idx="9">
                  <c:v>0.13624897782207901</c:v>
                </c:pt>
                <c:pt idx="12">
                  <c:v>-4.0758486112558228E-3</c:v>
                </c:pt>
                <c:pt idx="15">
                  <c:v>-7.2105537168527328E-2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74AD-461C-9CA2-340F3A80245F}"/>
            </c:ext>
          </c:extLst>
        </c:ser>
        <c:ser>
          <c:idx val="12"/>
          <c:order val="9"/>
          <c:tx>
            <c:v>NEL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Data!$AC$9</c:f>
                <c:numCache>
                  <c:formatCode>General</c:formatCode>
                  <c:ptCount val="1"/>
                  <c:pt idx="0">
                    <c:v>0.35968373006967252</c:v>
                  </c:pt>
                </c:numCache>
              </c:numRef>
            </c:plus>
            <c:minus>
              <c:numRef>
                <c:f>Data!$AC$9</c:f>
                <c:numCache>
                  <c:formatCode>General</c:formatCode>
                  <c:ptCount val="1"/>
                  <c:pt idx="0">
                    <c:v>0.35968373006967252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Sheet2!$C$13</c:f>
              <c:numCache>
                <c:formatCode>0.00</c:formatCode>
                <c:ptCount val="1"/>
                <c:pt idx="0">
                  <c:v>8.5</c:v>
                </c:pt>
              </c:numCache>
            </c:numRef>
          </c:xVal>
          <c:yVal>
            <c:numRef>
              <c:f>Sheet2!$D$13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4AD-461C-9CA2-340F3A80245F}"/>
            </c:ext>
          </c:extLst>
        </c:ser>
        <c:ser>
          <c:idx val="13"/>
          <c:order val="10"/>
          <c:tx>
            <c:v>Force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Data!$BI$9</c:f>
                <c:numCache>
                  <c:formatCode>General</c:formatCode>
                  <c:ptCount val="1"/>
                  <c:pt idx="0">
                    <c:v>0.28780447001045129</c:v>
                  </c:pt>
                </c:numCache>
              </c:numRef>
            </c:plus>
            <c:minus>
              <c:numRef>
                <c:f>Data!$BI$9</c:f>
                <c:numCache>
                  <c:formatCode>General</c:formatCode>
                  <c:ptCount val="1"/>
                  <c:pt idx="0">
                    <c:v>0.28780447001045129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Sheet2!$C$14</c:f>
              <c:numCache>
                <c:formatCode>0.00</c:formatCode>
                <c:ptCount val="1"/>
                <c:pt idx="0">
                  <c:v>9</c:v>
                </c:pt>
              </c:numCache>
            </c:numRef>
          </c:xVal>
          <c:yVal>
            <c:numRef>
              <c:f>Sheet2!$D$14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4AD-461C-9CA2-340F3A80245F}"/>
            </c:ext>
          </c:extLst>
        </c:ser>
        <c:ser>
          <c:idx val="14"/>
          <c:order val="11"/>
          <c:tx>
            <c:v>DNV Unc.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Data!$CO$9</c:f>
                <c:numCache>
                  <c:formatCode>General</c:formatCode>
                  <c:ptCount val="1"/>
                  <c:pt idx="0">
                    <c:v>0.27572503983825764</c:v>
                  </c:pt>
                </c:numCache>
              </c:numRef>
            </c:plus>
            <c:minus>
              <c:numRef>
                <c:f>Data!$CO$9</c:f>
                <c:numCache>
                  <c:formatCode>General</c:formatCode>
                  <c:ptCount val="1"/>
                  <c:pt idx="0">
                    <c:v>0.27572503983825764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Sheet2!$C$15</c:f>
              <c:numCache>
                <c:formatCode>0.00</c:formatCode>
                <c:ptCount val="1"/>
                <c:pt idx="0">
                  <c:v>9.5</c:v>
                </c:pt>
              </c:numCache>
              <c:extLst xmlns:c15="http://schemas.microsoft.com/office/drawing/2012/chart"/>
            </c:numRef>
          </c:xVal>
          <c:yVal>
            <c:numRef>
              <c:f>Sheet2!$D$15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74AD-461C-9CA2-340F3A802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NEL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rgbClr val="00B0F0"/>
                    </a:solidFill>
                    <a:ln w="63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Data!$AD$13:$AD$30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7.7722790462822759</c:v>
                      </c:pt>
                      <c:pt idx="3">
                        <c:v>5.4358181354638093</c:v>
                      </c:pt>
                      <c:pt idx="6">
                        <c:v>3.1134241763286936</c:v>
                      </c:pt>
                      <c:pt idx="9">
                        <c:v>1.5649296099458034</c:v>
                      </c:pt>
                      <c:pt idx="12">
                        <c:v>0.78419226356274019</c:v>
                      </c:pt>
                      <c:pt idx="15">
                        <c:v>0.39579488214526864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Data!$W$13:$W$30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0.13677365062709518</c:v>
                      </c:pt>
                      <c:pt idx="3">
                        <c:v>0.14193107362070129</c:v>
                      </c:pt>
                      <c:pt idx="6">
                        <c:v>0.17016216797385009</c:v>
                      </c:pt>
                      <c:pt idx="9">
                        <c:v>0.1287746410285274</c:v>
                      </c:pt>
                      <c:pt idx="12">
                        <c:v>0.10490170893416735</c:v>
                      </c:pt>
                      <c:pt idx="15">
                        <c:v>0.3108268345986861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74AD-461C-9CA2-340F3A80245F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Force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chemeClr val="accent4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Data!$BJ$13:$BJ$30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3">
                        <c:v>5.3242862678161451</c:v>
                      </c:pt>
                      <c:pt idx="6">
                        <c:v>3.0503366216184986</c:v>
                      </c:pt>
                      <c:pt idx="9">
                        <c:v>1.5252615882749814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Data!$BA$13:$BA$30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3">
                        <c:v>9.7914100023102899E-2</c:v>
                      </c:pt>
                      <c:pt idx="4">
                        <c:v>0.10150513793698393</c:v>
                      </c:pt>
                      <c:pt idx="5">
                        <c:v>0.12472356655637332</c:v>
                      </c:pt>
                      <c:pt idx="6">
                        <c:v>-0.17087674902104016</c:v>
                      </c:pt>
                      <c:pt idx="7">
                        <c:v>-0.16295681863003972</c:v>
                      </c:pt>
                      <c:pt idx="8">
                        <c:v>-0.15348453183962651</c:v>
                      </c:pt>
                      <c:pt idx="9">
                        <c:v>-0.17991752334724681</c:v>
                      </c:pt>
                      <c:pt idx="10">
                        <c:v>-0.19055686164146682</c:v>
                      </c:pt>
                      <c:pt idx="11">
                        <c:v>-0.19869057049132113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4AD-461C-9CA2-340F3A80245F}"/>
                  </c:ext>
                </c:extLst>
              </c15:ser>
            </c15:filteredScatterSeries>
            <c15:filteredScatterSeries>
              <c15:ser>
                <c:idx val="7"/>
                <c:order val="2"/>
                <c:tx>
                  <c:v>DNV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chemeClr val="accent3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Data!$CP$13:$CP$30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6.7172711210124172</c:v>
                      </c:pt>
                      <c:pt idx="3">
                        <c:v>5.4108703101817675</c:v>
                      </c:pt>
                      <c:pt idx="6">
                        <c:v>2.9928192700269487</c:v>
                      </c:pt>
                      <c:pt idx="9">
                        <c:v>1.5657124743546975</c:v>
                      </c:pt>
                      <c:pt idx="12">
                        <c:v>0.64656619973792362</c:v>
                      </c:pt>
                      <c:pt idx="15">
                        <c:v>0.46331714973191929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Data!$CI$13:$CI$30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0.21226393355126091</c:v>
                      </c:pt>
                      <c:pt idx="3">
                        <c:v>1.2678959556414406E-2</c:v>
                      </c:pt>
                      <c:pt idx="6">
                        <c:v>0.18182965505238999</c:v>
                      </c:pt>
                      <c:pt idx="9">
                        <c:v>0.13020546620771475</c:v>
                      </c:pt>
                      <c:pt idx="12">
                        <c:v>4.9888015477662813E-2</c:v>
                      </c:pt>
                      <c:pt idx="15">
                        <c:v>-3.8328310445799617E-2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4AD-461C-9CA2-340F3A80245F}"/>
                  </c:ext>
                </c:extLst>
              </c15:ser>
            </c15:filteredScatterSeries>
            <c15:filteredScatterSeries>
              <c15:ser>
                <c:idx val="2"/>
                <c:order val="6"/>
                <c:tx>
                  <c:v>KCRV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Data!$DC$18:$DC$30</c15:sqref>
                        </c15:formulaRef>
                      </c:ext>
                    </c:extLst>
                    <c:numCache>
                      <c:formatCode>0.00E+00</c:formatCode>
                      <c:ptCount val="13"/>
                      <c:pt idx="1">
                        <c:v>3.0521933559913808</c:v>
                      </c:pt>
                      <c:pt idx="4">
                        <c:v>1.551967890858494</c:v>
                      </c:pt>
                      <c:pt idx="7">
                        <c:v>0.7153792316503319</c:v>
                      </c:pt>
                      <c:pt idx="10">
                        <c:v>0.42955601593859394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Data!$DD$18:$DD$30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1">
                        <c:v>6.6422918635398551E-2</c:v>
                      </c:pt>
                      <c:pt idx="4">
                        <c:v>8.0022861768461514E-3</c:v>
                      </c:pt>
                      <c:pt idx="7">
                        <c:v>6.7260230602703974E-2</c:v>
                      </c:pt>
                      <c:pt idx="10">
                        <c:v>5.8151826857046944E-2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4AD-461C-9CA2-340F3A80245F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v>KRVC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9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Data!$DC$50:$DC$57</c15:sqref>
                        </c15:formulaRef>
                      </c:ext>
                    </c:extLst>
                    <c:numCache>
                      <c:formatCode>0.00E+00</c:formatCode>
                      <c:ptCount val="8"/>
                      <c:pt idx="2">
                        <c:v>0.47819888256056514</c:v>
                      </c:pt>
                      <c:pt idx="5">
                        <c:v>0.27415298694650941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Data!$DD$50:$DD$57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2">
                        <c:v>-0.11683513048689283</c:v>
                      </c:pt>
                      <c:pt idx="5">
                        <c:v>-0.13690359938862606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4AD-461C-9CA2-340F3A80245F}"/>
                  </c:ext>
                </c:extLst>
              </c15:ser>
            </c15:filteredScatterSeries>
            <c15:filteredScatterSeries>
              <c15:ser>
                <c:idx val="10"/>
                <c:order val="8"/>
                <c:tx>
                  <c:v>KRVC 50 bar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9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4AD-461C-9CA2-340F3A80245F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Reference mass flow (kg/s)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1"/>
        <c:crossBetween val="midCat"/>
      </c:valAx>
      <c:valAx>
        <c:axId val="98234976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Error MUT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Mass Error</a:t>
            </a:r>
            <a:r>
              <a:rPr lang="en-GB" sz="1800" baseline="0"/>
              <a:t> for 3</a:t>
            </a:r>
            <a:r>
              <a:rPr lang="en-GB" sz="1800"/>
              <a:t>-inch Coriolis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NEL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Data!$AG$13:$AG$30</c:f>
              <c:numCache>
                <c:formatCode>0</c:formatCode>
                <c:ptCount val="18"/>
                <c:pt idx="0">
                  <c:v>403.66694336568725</c:v>
                </c:pt>
                <c:pt idx="3">
                  <c:v>280.72494616938565</c:v>
                </c:pt>
                <c:pt idx="6">
                  <c:v>160.3249579869333</c:v>
                </c:pt>
                <c:pt idx="9">
                  <c:v>80.523699923833917</c:v>
                </c:pt>
                <c:pt idx="12">
                  <c:v>40.338828844513593</c:v>
                </c:pt>
                <c:pt idx="15">
                  <c:v>20.385773224996093</c:v>
                </c:pt>
              </c:numCache>
            </c:numRef>
          </c:xVal>
          <c:yVal>
            <c:numRef>
              <c:f>Data!$W$13:$W$30</c:f>
              <c:numCache>
                <c:formatCode>0.000</c:formatCode>
                <c:ptCount val="18"/>
                <c:pt idx="0">
                  <c:v>0.13677365062709518</c:v>
                </c:pt>
                <c:pt idx="3">
                  <c:v>0.14193107362070129</c:v>
                </c:pt>
                <c:pt idx="6">
                  <c:v>0.17016216797385009</c:v>
                </c:pt>
                <c:pt idx="9">
                  <c:v>0.1287746410285274</c:v>
                </c:pt>
                <c:pt idx="12">
                  <c:v>0.10490170893416735</c:v>
                </c:pt>
                <c:pt idx="15">
                  <c:v>0.3108268345986861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D6-460D-9D96-D6A94BFA42AC}"/>
            </c:ext>
          </c:extLst>
        </c:ser>
        <c:ser>
          <c:idx val="1"/>
          <c:order val="1"/>
          <c:tx>
            <c:v>Force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Data!$BM$13:$BM$30</c:f>
              <c:numCache>
                <c:formatCode>0</c:formatCode>
                <c:ptCount val="18"/>
                <c:pt idx="3">
                  <c:v>280.16384682453167</c:v>
                </c:pt>
                <c:pt idx="6">
                  <c:v>159.68688054485131</c:v>
                </c:pt>
                <c:pt idx="9">
                  <c:v>79.8140725017318</c:v>
                </c:pt>
              </c:numCache>
            </c:numRef>
          </c:xVal>
          <c:yVal>
            <c:numRef>
              <c:f>Data!$BA$13:$BA$30</c:f>
              <c:numCache>
                <c:formatCode>0.000</c:formatCode>
                <c:ptCount val="18"/>
                <c:pt idx="3">
                  <c:v>9.7914100023102899E-2</c:v>
                </c:pt>
                <c:pt idx="4">
                  <c:v>0.10150513793698393</c:v>
                </c:pt>
                <c:pt idx="5">
                  <c:v>0.12472356655637332</c:v>
                </c:pt>
                <c:pt idx="6">
                  <c:v>-0.17087674902104016</c:v>
                </c:pt>
                <c:pt idx="7">
                  <c:v>-0.16295681863003972</c:v>
                </c:pt>
                <c:pt idx="8">
                  <c:v>-0.15348453183962651</c:v>
                </c:pt>
                <c:pt idx="9">
                  <c:v>-0.17991752334724681</c:v>
                </c:pt>
                <c:pt idx="10">
                  <c:v>-0.19055686164146682</c:v>
                </c:pt>
                <c:pt idx="11">
                  <c:v>-0.19869057049132113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D6-460D-9D96-D6A94BFA42AC}"/>
            </c:ext>
          </c:extLst>
        </c:ser>
        <c:ser>
          <c:idx val="7"/>
          <c:order val="2"/>
          <c:tx>
            <c:v>DNV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Data!$CS$13:$CS$30</c:f>
              <c:numCache>
                <c:formatCode>0</c:formatCode>
                <c:ptCount val="18"/>
                <c:pt idx="0">
                  <c:v>390.85154228461278</c:v>
                </c:pt>
                <c:pt idx="3">
                  <c:v>300.31364749099117</c:v>
                </c:pt>
                <c:pt idx="6">
                  <c:v>158.98604227811305</c:v>
                </c:pt>
                <c:pt idx="9">
                  <c:v>83.418187572887234</c:v>
                </c:pt>
                <c:pt idx="12">
                  <c:v>34.098350776004828</c:v>
                </c:pt>
                <c:pt idx="15">
                  <c:v>24.401201555276842</c:v>
                </c:pt>
              </c:numCache>
            </c:numRef>
          </c:xVal>
          <c:yVal>
            <c:numRef>
              <c:f>Data!$CI$13:$CI$30</c:f>
              <c:numCache>
                <c:formatCode>0.000</c:formatCode>
                <c:ptCount val="18"/>
                <c:pt idx="0">
                  <c:v>0.21226393355126091</c:v>
                </c:pt>
                <c:pt idx="3">
                  <c:v>1.2678959556414406E-2</c:v>
                </c:pt>
                <c:pt idx="6">
                  <c:v>0.18182965505238999</c:v>
                </c:pt>
                <c:pt idx="9">
                  <c:v>0.13020546620771475</c:v>
                </c:pt>
                <c:pt idx="12">
                  <c:v>4.9888015477662813E-2</c:v>
                </c:pt>
                <c:pt idx="15">
                  <c:v>-3.8328310445799617E-2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AD6-460D-9D96-D6A94BFA42AC}"/>
            </c:ext>
          </c:extLst>
        </c:ser>
        <c:ser>
          <c:idx val="3"/>
          <c:order val="3"/>
          <c:tx>
            <c:v>NEL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Data!$AG$40:$AG$57</c:f>
              <c:numCache>
                <c:formatCode>0</c:formatCode>
                <c:ptCount val="18"/>
                <c:pt idx="0">
                  <c:v>403.36842827080619</c:v>
                </c:pt>
                <c:pt idx="3">
                  <c:v>280.75201401120722</c:v>
                </c:pt>
                <c:pt idx="6">
                  <c:v>160.42129767789331</c:v>
                </c:pt>
                <c:pt idx="9">
                  <c:v>79.964627138810044</c:v>
                </c:pt>
                <c:pt idx="12">
                  <c:v>40.35880764951154</c:v>
                </c:pt>
                <c:pt idx="15">
                  <c:v>20.817934705615126</c:v>
                </c:pt>
              </c:numCache>
            </c:numRef>
          </c:xVal>
          <c:yVal>
            <c:numRef>
              <c:f>Data!$W$40:$W$57</c:f>
              <c:numCache>
                <c:formatCode>0.000</c:formatCode>
                <c:ptCount val="18"/>
                <c:pt idx="0">
                  <c:v>0.23752868385534689</c:v>
                </c:pt>
                <c:pt idx="3">
                  <c:v>0.18205485376734054</c:v>
                </c:pt>
                <c:pt idx="6">
                  <c:v>0.14708425771983724</c:v>
                </c:pt>
                <c:pt idx="9">
                  <c:v>-5.4834697402907306E-2</c:v>
                </c:pt>
                <c:pt idx="12">
                  <c:v>-0.1506964290092192</c:v>
                </c:pt>
                <c:pt idx="15">
                  <c:v>-5.2923531586678223E-2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D6-460D-9D96-D6A94BFA42AC}"/>
            </c:ext>
          </c:extLst>
        </c:ser>
        <c:ser>
          <c:idx val="4"/>
          <c:order val="4"/>
          <c:tx>
            <c:v>Force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Data!$BM$40:$BM$57</c:f>
              <c:numCache>
                <c:formatCode>0</c:formatCode>
                <c:ptCount val="18"/>
                <c:pt idx="3">
                  <c:v>279.7466428539023</c:v>
                </c:pt>
                <c:pt idx="6">
                  <c:v>159.99487187327972</c:v>
                </c:pt>
                <c:pt idx="9">
                  <c:v>79.981936589896989</c:v>
                </c:pt>
                <c:pt idx="12">
                  <c:v>40.555060390670526</c:v>
                </c:pt>
                <c:pt idx="15">
                  <c:v>20.233835337505031</c:v>
                </c:pt>
              </c:numCache>
            </c:numRef>
          </c:xVal>
          <c:yVal>
            <c:numRef>
              <c:f>Data!$BC$40:$BC$57</c:f>
              <c:numCache>
                <c:formatCode>0.000</c:formatCode>
                <c:ptCount val="18"/>
                <c:pt idx="3">
                  <c:v>-4.561018965830644E-2</c:v>
                </c:pt>
                <c:pt idx="6">
                  <c:v>-0.19032310914915077</c:v>
                </c:pt>
                <c:pt idx="9">
                  <c:v>-0.32619508281422188</c:v>
                </c:pt>
                <c:pt idx="12">
                  <c:v>-0.28628625758407034</c:v>
                </c:pt>
                <c:pt idx="15">
                  <c:v>-0.27529590966746653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AD6-460D-9D96-D6A94BFA42AC}"/>
            </c:ext>
          </c:extLst>
        </c:ser>
        <c:ser>
          <c:idx val="6"/>
          <c:order val="5"/>
          <c:tx>
            <c:v>DNV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Data!$CS$40:$CS$57</c:f>
              <c:numCache>
                <c:formatCode>0</c:formatCode>
                <c:ptCount val="18"/>
                <c:pt idx="0">
                  <c:v>389.84128395345624</c:v>
                </c:pt>
                <c:pt idx="3">
                  <c:v>278.61247069958898</c:v>
                </c:pt>
                <c:pt idx="6">
                  <c:v>162.18566562185831</c:v>
                </c:pt>
                <c:pt idx="9">
                  <c:v>85.510282416444241</c:v>
                </c:pt>
                <c:pt idx="12">
                  <c:v>34.978800454705549</c:v>
                </c:pt>
                <c:pt idx="15">
                  <c:v>25.022287073865389</c:v>
                </c:pt>
              </c:numCache>
            </c:numRef>
          </c:xVal>
          <c:yVal>
            <c:numRef>
              <c:f>Data!$CI$40:$CI$57</c:f>
              <c:numCache>
                <c:formatCode>0.000</c:formatCode>
                <c:ptCount val="18"/>
                <c:pt idx="0">
                  <c:v>-4.5709592299222994E-2</c:v>
                </c:pt>
                <c:pt idx="3">
                  <c:v>1.251231068323152E-2</c:v>
                </c:pt>
                <c:pt idx="6">
                  <c:v>0.12982435450260174</c:v>
                </c:pt>
                <c:pt idx="9">
                  <c:v>0.13624897782207901</c:v>
                </c:pt>
                <c:pt idx="12">
                  <c:v>-4.0758486112558228E-3</c:v>
                </c:pt>
                <c:pt idx="15">
                  <c:v>-7.2105537168527328E-2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6AD6-460D-9D96-D6A94BFA42AC}"/>
            </c:ext>
          </c:extLst>
        </c:ser>
        <c:ser>
          <c:idx val="12"/>
          <c:order val="9"/>
          <c:tx>
            <c:v>NEL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Data!$AC$9</c:f>
                <c:numCache>
                  <c:formatCode>General</c:formatCode>
                  <c:ptCount val="1"/>
                  <c:pt idx="0">
                    <c:v>0.35968373006967252</c:v>
                  </c:pt>
                </c:numCache>
              </c:numRef>
            </c:plus>
            <c:minus>
              <c:numRef>
                <c:f>Data!$AC$9</c:f>
                <c:numCache>
                  <c:formatCode>General</c:formatCode>
                  <c:ptCount val="1"/>
                  <c:pt idx="0">
                    <c:v>0.35968373006967252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Sheet2!$C$18</c:f>
              <c:numCache>
                <c:formatCode>0.00</c:formatCode>
                <c:ptCount val="1"/>
                <c:pt idx="0">
                  <c:v>450</c:v>
                </c:pt>
              </c:numCache>
            </c:numRef>
          </c:xVal>
          <c:yVal>
            <c:numRef>
              <c:f>Sheet2!$D$18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AD6-460D-9D96-D6A94BFA42AC}"/>
            </c:ext>
          </c:extLst>
        </c:ser>
        <c:ser>
          <c:idx val="13"/>
          <c:order val="10"/>
          <c:tx>
            <c:v>Force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Data!$BI$9</c:f>
                <c:numCache>
                  <c:formatCode>General</c:formatCode>
                  <c:ptCount val="1"/>
                  <c:pt idx="0">
                    <c:v>0.28780447001045129</c:v>
                  </c:pt>
                </c:numCache>
              </c:numRef>
            </c:plus>
            <c:minus>
              <c:numRef>
                <c:f>Data!$BI$9</c:f>
                <c:numCache>
                  <c:formatCode>General</c:formatCode>
                  <c:ptCount val="1"/>
                  <c:pt idx="0">
                    <c:v>0.28780447001045129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Sheet2!$C$19</c:f>
              <c:numCache>
                <c:formatCode>0.00</c:formatCode>
                <c:ptCount val="1"/>
                <c:pt idx="0">
                  <c:v>470</c:v>
                </c:pt>
              </c:numCache>
            </c:numRef>
          </c:xVal>
          <c:yVal>
            <c:numRef>
              <c:f>Sheet2!$D$19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AD6-460D-9D96-D6A94BFA42AC}"/>
            </c:ext>
          </c:extLst>
        </c:ser>
        <c:ser>
          <c:idx val="14"/>
          <c:order val="11"/>
          <c:tx>
            <c:v>DNV Unc.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Data!$CO$9</c:f>
                <c:numCache>
                  <c:formatCode>General</c:formatCode>
                  <c:ptCount val="1"/>
                  <c:pt idx="0">
                    <c:v>0.27572503983825764</c:v>
                  </c:pt>
                </c:numCache>
              </c:numRef>
            </c:plus>
            <c:minus>
              <c:numRef>
                <c:f>Data!$CO$9</c:f>
                <c:numCache>
                  <c:formatCode>General</c:formatCode>
                  <c:ptCount val="1"/>
                  <c:pt idx="0">
                    <c:v>0.27572503983825764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Sheet2!$C$20</c:f>
              <c:numCache>
                <c:formatCode>0.00</c:formatCode>
                <c:ptCount val="1"/>
                <c:pt idx="0">
                  <c:v>490</c:v>
                </c:pt>
              </c:numCache>
              <c:extLst xmlns:c15="http://schemas.microsoft.com/office/drawing/2012/chart"/>
            </c:numRef>
          </c:xVal>
          <c:yVal>
            <c:numRef>
              <c:f>Sheet2!$D$20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6AD6-460D-9D96-D6A94BFA42AC}"/>
            </c:ext>
          </c:extLst>
        </c:ser>
        <c:ser>
          <c:idx val="8"/>
          <c:order val="12"/>
          <c:tx>
            <c:v>NEL 38 bara N2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'Data N2 NEL'!$AG$13:$AG$27</c:f>
              <c:numCache>
                <c:formatCode>0</c:formatCode>
                <c:ptCount val="15"/>
                <c:pt idx="0">
                  <c:v>333.94333777433781</c:v>
                </c:pt>
                <c:pt idx="3">
                  <c:v>191.36027376101845</c:v>
                </c:pt>
                <c:pt idx="6">
                  <c:v>94.886715823410398</c:v>
                </c:pt>
                <c:pt idx="9">
                  <c:v>48.045821069101429</c:v>
                </c:pt>
                <c:pt idx="12">
                  <c:v>24.505108351986298</c:v>
                </c:pt>
              </c:numCache>
            </c:numRef>
          </c:xVal>
          <c:yVal>
            <c:numRef>
              <c:f>'Data N2 NEL'!$W$13:$W$27</c:f>
              <c:numCache>
                <c:formatCode>0.000</c:formatCode>
                <c:ptCount val="15"/>
                <c:pt idx="0">
                  <c:v>0.14134915530322331</c:v>
                </c:pt>
                <c:pt idx="3">
                  <c:v>0.14121849774893711</c:v>
                </c:pt>
                <c:pt idx="6">
                  <c:v>3.5597597680124611E-2</c:v>
                </c:pt>
                <c:pt idx="9">
                  <c:v>-5.4006012090092793E-2</c:v>
                </c:pt>
                <c:pt idx="12">
                  <c:v>-0.2126227185553359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B7-402D-B06D-7211AFAB91AE}"/>
            </c:ext>
          </c:extLst>
        </c:ser>
        <c:ser>
          <c:idx val="9"/>
          <c:order val="13"/>
          <c:tx>
            <c:v>FORCE 31 bara NG</c:v>
          </c:tx>
          <c:spPr>
            <a:ln w="25400" cap="rnd">
              <a:noFill/>
              <a:round/>
            </a:ln>
            <a:effectLst/>
          </c:spPr>
          <c:marker>
            <c:symbol val="x"/>
            <c:size val="7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 31 bar'!$AG$13:$AG$27</c:f>
              <c:numCache>
                <c:formatCode>0</c:formatCode>
                <c:ptCount val="15"/>
                <c:pt idx="0">
                  <c:v>19.830515964115939</c:v>
                </c:pt>
                <c:pt idx="3">
                  <c:v>39.812964321325957</c:v>
                </c:pt>
                <c:pt idx="6">
                  <c:v>83.232614284391147</c:v>
                </c:pt>
                <c:pt idx="9">
                  <c:v>159.81457208980427</c:v>
                </c:pt>
                <c:pt idx="12">
                  <c:v>279.88623163977519</c:v>
                </c:pt>
              </c:numCache>
            </c:numRef>
          </c:xVal>
          <c:yVal>
            <c:numRef>
              <c:f>'Data NG FORCE 31 bar'!$W$13:$W$27</c:f>
              <c:numCache>
                <c:formatCode>0.000</c:formatCode>
                <c:ptCount val="15"/>
                <c:pt idx="0">
                  <c:v>-0.69898947354412921</c:v>
                </c:pt>
                <c:pt idx="3">
                  <c:v>-0.31998112308420185</c:v>
                </c:pt>
                <c:pt idx="6">
                  <c:v>2.9969197771378325E-2</c:v>
                </c:pt>
                <c:pt idx="9">
                  <c:v>2.9397107138738204E-2</c:v>
                </c:pt>
                <c:pt idx="12">
                  <c:v>9.6370898671581065E-2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B7-402D-B06D-7211AFAB91AE}"/>
            </c:ext>
          </c:extLst>
        </c:ser>
        <c:ser>
          <c:idx val="11"/>
          <c:order val="14"/>
          <c:tx>
            <c:v>FORCE 21 bara NG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 21 bar'!$AG$13:$AG$27</c:f>
              <c:numCache>
                <c:formatCode>0</c:formatCode>
                <c:ptCount val="15"/>
                <c:pt idx="0">
                  <c:v>19.770619285119945</c:v>
                </c:pt>
                <c:pt idx="3">
                  <c:v>39.875326238873441</c:v>
                </c:pt>
                <c:pt idx="6">
                  <c:v>79.99380250141904</c:v>
                </c:pt>
                <c:pt idx="9">
                  <c:v>160.110796557209</c:v>
                </c:pt>
                <c:pt idx="12">
                  <c:v>280.20997008227982</c:v>
                </c:pt>
              </c:numCache>
            </c:numRef>
          </c:xVal>
          <c:yVal>
            <c:numRef>
              <c:f>'Data NG FORCE 21 bar'!$W$13:$W$27</c:f>
              <c:numCache>
                <c:formatCode>0.000</c:formatCode>
                <c:ptCount val="15"/>
                <c:pt idx="0">
                  <c:v>-1.0717801185630931</c:v>
                </c:pt>
                <c:pt idx="3">
                  <c:v>-0.23207250497975493</c:v>
                </c:pt>
                <c:pt idx="6">
                  <c:v>6.4112864113922863E-2</c:v>
                </c:pt>
                <c:pt idx="9">
                  <c:v>0.15898875910604013</c:v>
                </c:pt>
                <c:pt idx="12">
                  <c:v>0.15670270137147332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B7-402D-B06D-7211AFAB9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6"/>
                <c:tx>
                  <c:v>KCRV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Data!$DC$18:$DC$30</c15:sqref>
                        </c15:formulaRef>
                      </c:ext>
                    </c:extLst>
                    <c:numCache>
                      <c:formatCode>0.00E+00</c:formatCode>
                      <c:ptCount val="13"/>
                      <c:pt idx="1">
                        <c:v>3.0521933559913808</c:v>
                      </c:pt>
                      <c:pt idx="4">
                        <c:v>1.551967890858494</c:v>
                      </c:pt>
                      <c:pt idx="7">
                        <c:v>0.7153792316503319</c:v>
                      </c:pt>
                      <c:pt idx="10">
                        <c:v>0.42955601593859394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Data!$DD$18:$DD$30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1">
                        <c:v>6.6422918635398551E-2</c:v>
                      </c:pt>
                      <c:pt idx="4">
                        <c:v>8.0022861768461514E-3</c:v>
                      </c:pt>
                      <c:pt idx="7">
                        <c:v>6.7260230602703974E-2</c:v>
                      </c:pt>
                      <c:pt idx="10">
                        <c:v>5.8151826857046944E-2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C-6AD6-460D-9D96-D6A94BFA42AC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v>KRVC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9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Data!$DC$50:$DC$57</c15:sqref>
                        </c15:formulaRef>
                      </c:ext>
                    </c:extLst>
                    <c:numCache>
                      <c:formatCode>0.00E+00</c:formatCode>
                      <c:ptCount val="8"/>
                      <c:pt idx="2">
                        <c:v>0.47819888256056514</c:v>
                      </c:pt>
                      <c:pt idx="5">
                        <c:v>0.27415298694650941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Data!$DD$50:$DD$57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2">
                        <c:v>-0.11683513048689283</c:v>
                      </c:pt>
                      <c:pt idx="5">
                        <c:v>-0.13690359938862606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AD6-460D-9D96-D6A94BFA42AC}"/>
                  </c:ext>
                </c:extLst>
              </c15:ser>
            </c15:filteredScatterSeries>
            <c15:filteredScatterSeries>
              <c15:ser>
                <c:idx val="10"/>
                <c:order val="8"/>
                <c:tx>
                  <c:v>KRVC 50 bar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9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AD6-460D-9D96-D6A94BFA42AC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Measured</a:t>
                </a:r>
                <a:r>
                  <a:rPr lang="en-GB" sz="1800" baseline="0"/>
                  <a:t> v</a:t>
                </a:r>
                <a:r>
                  <a:rPr lang="en-GB" sz="1800"/>
                  <a:t>olume flow (m</a:t>
                </a:r>
                <a:r>
                  <a:rPr lang="en-GB" sz="1800" baseline="30000"/>
                  <a:t>3</a:t>
                </a:r>
                <a:r>
                  <a:rPr lang="en-GB" sz="1800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1"/>
        <c:crossBetween val="midCat"/>
      </c:valAx>
      <c:valAx>
        <c:axId val="98234976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Error MUT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Mass Error</a:t>
            </a:r>
            <a:r>
              <a:rPr lang="en-GB" sz="1800" baseline="0"/>
              <a:t> for 3</a:t>
            </a:r>
            <a:r>
              <a:rPr lang="en-GB" sz="1800"/>
              <a:t>-inch Coriolis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NEL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Data!$AD$13:$AD$30</c:f>
              <c:numCache>
                <c:formatCode>0.00</c:formatCode>
                <c:ptCount val="18"/>
                <c:pt idx="0">
                  <c:v>7.7722790462822759</c:v>
                </c:pt>
                <c:pt idx="3">
                  <c:v>5.4358181354638093</c:v>
                </c:pt>
                <c:pt idx="6">
                  <c:v>3.1134241763286936</c:v>
                </c:pt>
                <c:pt idx="9">
                  <c:v>1.5649296099458034</c:v>
                </c:pt>
                <c:pt idx="12">
                  <c:v>0.78419226356274019</c:v>
                </c:pt>
                <c:pt idx="15">
                  <c:v>0.39579488214526864</c:v>
                </c:pt>
              </c:numCache>
            </c:numRef>
          </c:xVal>
          <c:yVal>
            <c:numRef>
              <c:f>Data!$W$13:$W$30</c:f>
              <c:numCache>
                <c:formatCode>0.000</c:formatCode>
                <c:ptCount val="18"/>
                <c:pt idx="0">
                  <c:v>0.13677365062709518</c:v>
                </c:pt>
                <c:pt idx="3">
                  <c:v>0.14193107362070129</c:v>
                </c:pt>
                <c:pt idx="6">
                  <c:v>0.17016216797385009</c:v>
                </c:pt>
                <c:pt idx="9">
                  <c:v>0.1287746410285274</c:v>
                </c:pt>
                <c:pt idx="12">
                  <c:v>0.10490170893416735</c:v>
                </c:pt>
                <c:pt idx="15">
                  <c:v>0.3108268345986861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44-489B-9F36-F6B60E300B11}"/>
            </c:ext>
          </c:extLst>
        </c:ser>
        <c:ser>
          <c:idx val="3"/>
          <c:order val="3"/>
          <c:tx>
            <c:v>NEL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Data!$AD$40:$AD$57</c:f>
              <c:numCache>
                <c:formatCode>0.00</c:formatCode>
                <c:ptCount val="18"/>
                <c:pt idx="0">
                  <c:v>4.8687009680114341</c:v>
                </c:pt>
                <c:pt idx="3">
                  <c:v>3.4099769410497269</c:v>
                </c:pt>
                <c:pt idx="6">
                  <c:v>1.9547833556650034</c:v>
                </c:pt>
                <c:pt idx="9">
                  <c:v>0.97681481879033238</c:v>
                </c:pt>
                <c:pt idx="12">
                  <c:v>0.49354689282644532</c:v>
                </c:pt>
                <c:pt idx="15">
                  <c:v>0.25443030919651199</c:v>
                </c:pt>
              </c:numCache>
            </c:numRef>
          </c:xVal>
          <c:yVal>
            <c:numRef>
              <c:f>Data!$W$40:$W$57</c:f>
              <c:numCache>
                <c:formatCode>0.000</c:formatCode>
                <c:ptCount val="18"/>
                <c:pt idx="0">
                  <c:v>0.23752868385534689</c:v>
                </c:pt>
                <c:pt idx="3">
                  <c:v>0.18205485376734054</c:v>
                </c:pt>
                <c:pt idx="6">
                  <c:v>0.14708425771983724</c:v>
                </c:pt>
                <c:pt idx="9">
                  <c:v>-5.4834697402907306E-2</c:v>
                </c:pt>
                <c:pt idx="12">
                  <c:v>-0.1506964290092192</c:v>
                </c:pt>
                <c:pt idx="15">
                  <c:v>-5.2923531586678223E-2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944-489B-9F36-F6B60E300B11}"/>
            </c:ext>
          </c:extLst>
        </c:ser>
        <c:ser>
          <c:idx val="11"/>
          <c:order val="12"/>
          <c:tx>
            <c:v>NEL 38 bara N2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'Data N2 NEL'!$AD$13:$AD$27</c:f>
              <c:numCache>
                <c:formatCode>0.00</c:formatCode>
                <c:ptCount val="15"/>
                <c:pt idx="0">
                  <c:v>4.1019859936586833</c:v>
                </c:pt>
                <c:pt idx="3">
                  <c:v>2.3544478229827299</c:v>
                </c:pt>
                <c:pt idx="6">
                  <c:v>1.1687477926260466</c:v>
                </c:pt>
                <c:pt idx="9">
                  <c:v>0.59219632703919101</c:v>
                </c:pt>
                <c:pt idx="12">
                  <c:v>0.30246146198523566</c:v>
                </c:pt>
              </c:numCache>
            </c:numRef>
          </c:xVal>
          <c:yVal>
            <c:numRef>
              <c:f>'Data N2 NEL'!$W$13:$W$27</c:f>
              <c:numCache>
                <c:formatCode>0.000</c:formatCode>
                <c:ptCount val="15"/>
                <c:pt idx="0">
                  <c:v>0.14134915530322331</c:v>
                </c:pt>
                <c:pt idx="3">
                  <c:v>0.14121849774893711</c:v>
                </c:pt>
                <c:pt idx="6">
                  <c:v>3.5597597680124611E-2</c:v>
                </c:pt>
                <c:pt idx="9">
                  <c:v>-5.4006012090092793E-2</c:v>
                </c:pt>
                <c:pt idx="12">
                  <c:v>-0.2126227185553359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944-489B-9F36-F6B60E300B11}"/>
            </c:ext>
          </c:extLst>
        </c:ser>
        <c:ser>
          <c:idx val="18"/>
          <c:order val="16"/>
          <c:tx>
            <c:v>FORCE 31 bara NG</c:v>
          </c:tx>
          <c:spPr>
            <a:ln w="25400" cap="rnd">
              <a:noFill/>
              <a:round/>
            </a:ln>
            <a:effectLst/>
          </c:spPr>
          <c:marker>
            <c:symbol val="x"/>
            <c:size val="7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 31 bar'!$AD$13:$AD$27</c:f>
              <c:numCache>
                <c:formatCode>0.00</c:formatCode>
                <c:ptCount val="15"/>
                <c:pt idx="0">
                  <c:v>0.1219832441871727</c:v>
                </c:pt>
                <c:pt idx="3">
                  <c:v>0.24404153431820907</c:v>
                </c:pt>
                <c:pt idx="6">
                  <c:v>0.5086715961565923</c:v>
                </c:pt>
                <c:pt idx="9">
                  <c:v>0.97573042133976229</c:v>
                </c:pt>
                <c:pt idx="12">
                  <c:v>1.7079465904992286</c:v>
                </c:pt>
              </c:numCache>
            </c:numRef>
          </c:xVal>
          <c:yVal>
            <c:numRef>
              <c:f>'Data NG FORCE 31 bar'!$W$13:$W$27</c:f>
              <c:numCache>
                <c:formatCode>0.000</c:formatCode>
                <c:ptCount val="15"/>
                <c:pt idx="0">
                  <c:v>-0.69898947354412921</c:v>
                </c:pt>
                <c:pt idx="3">
                  <c:v>-0.31998112308420185</c:v>
                </c:pt>
                <c:pt idx="6">
                  <c:v>2.9969197771378325E-2</c:v>
                </c:pt>
                <c:pt idx="9">
                  <c:v>2.9397107138738204E-2</c:v>
                </c:pt>
                <c:pt idx="12">
                  <c:v>9.6370898671581065E-2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7C-47EE-9DFC-D2E8A21B6ACE}"/>
            </c:ext>
          </c:extLst>
        </c:ser>
        <c:ser>
          <c:idx val="19"/>
          <c:order val="17"/>
          <c:tx>
            <c:v>FORCE 21 bara NG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 21 bar'!$AD$13:$AD$27</c:f>
              <c:numCache>
                <c:formatCode>0.00</c:formatCode>
                <c:ptCount val="15"/>
                <c:pt idx="0">
                  <c:v>8.1228581962384278E-2</c:v>
                </c:pt>
                <c:pt idx="3">
                  <c:v>0.16247612421514079</c:v>
                </c:pt>
                <c:pt idx="6">
                  <c:v>0.3252972004978032</c:v>
                </c:pt>
                <c:pt idx="9">
                  <c:v>0.6511508456422983</c:v>
                </c:pt>
                <c:pt idx="12">
                  <c:v>1.1399090754601251</c:v>
                </c:pt>
              </c:numCache>
            </c:numRef>
          </c:xVal>
          <c:yVal>
            <c:numRef>
              <c:f>'Data NG FORCE 21 bar'!$W$13:$W$27</c:f>
              <c:numCache>
                <c:formatCode>0.000</c:formatCode>
                <c:ptCount val="15"/>
                <c:pt idx="0">
                  <c:v>-1.0717801185630931</c:v>
                </c:pt>
                <c:pt idx="3">
                  <c:v>-0.23207250497975493</c:v>
                </c:pt>
                <c:pt idx="6">
                  <c:v>6.4112864113922863E-2</c:v>
                </c:pt>
                <c:pt idx="9">
                  <c:v>0.15898875910604013</c:v>
                </c:pt>
                <c:pt idx="12">
                  <c:v>0.15670270137147332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7C-47EE-9DFC-D2E8A21B6ACE}"/>
            </c:ext>
          </c:extLst>
        </c:ser>
        <c:ser>
          <c:idx val="9"/>
          <c:order val="18"/>
          <c:tx>
            <c:v>Specs</c:v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'Coriolis Manufact Error'!$B$6:$B$358</c:f>
              <c:numCache>
                <c:formatCode>General</c:formatCode>
                <c:ptCount val="353"/>
                <c:pt idx="0">
                  <c:v>0.05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7.3999999999999995</c:v>
                </c:pt>
                <c:pt idx="149">
                  <c:v>7.4499999999999993</c:v>
                </c:pt>
                <c:pt idx="150">
                  <c:v>7.4999999999999991</c:v>
                </c:pt>
                <c:pt idx="151">
                  <c:v>7.5499999999999989</c:v>
                </c:pt>
                <c:pt idx="152">
                  <c:v>7.5999999999999988</c:v>
                </c:pt>
                <c:pt idx="153">
                  <c:v>7.6499999999999986</c:v>
                </c:pt>
                <c:pt idx="154">
                  <c:v>7.6999999999999984</c:v>
                </c:pt>
                <c:pt idx="155">
                  <c:v>7.7499999999999982</c:v>
                </c:pt>
                <c:pt idx="156">
                  <c:v>7.799999999999998</c:v>
                </c:pt>
                <c:pt idx="157">
                  <c:v>7.8499999999999979</c:v>
                </c:pt>
                <c:pt idx="158">
                  <c:v>7.8999999999999977</c:v>
                </c:pt>
                <c:pt idx="159">
                  <c:v>7.9499999999999975</c:v>
                </c:pt>
                <c:pt idx="160">
                  <c:v>7.9999999999999973</c:v>
                </c:pt>
                <c:pt idx="161">
                  <c:v>8.0499999999999972</c:v>
                </c:pt>
                <c:pt idx="162">
                  <c:v>8.0999999999999979</c:v>
                </c:pt>
                <c:pt idx="163">
                  <c:v>8.1499999999999986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8.3500000000000014</c:v>
                </c:pt>
                <c:pt idx="168">
                  <c:v>8.4000000000000021</c:v>
                </c:pt>
                <c:pt idx="169">
                  <c:v>8.4500000000000028</c:v>
                </c:pt>
                <c:pt idx="170">
                  <c:v>8.5000000000000036</c:v>
                </c:pt>
                <c:pt idx="171">
                  <c:v>8.5500000000000043</c:v>
                </c:pt>
                <c:pt idx="172">
                  <c:v>8.600000000000005</c:v>
                </c:pt>
                <c:pt idx="173">
                  <c:v>8.6500000000000057</c:v>
                </c:pt>
                <c:pt idx="174">
                  <c:v>8.7000000000000064</c:v>
                </c:pt>
                <c:pt idx="175">
                  <c:v>8.7500000000000071</c:v>
                </c:pt>
                <c:pt idx="176">
                  <c:v>8.8000000000000078</c:v>
                </c:pt>
                <c:pt idx="177">
                  <c:v>8.8500000000000085</c:v>
                </c:pt>
                <c:pt idx="178">
                  <c:v>8.9000000000000092</c:v>
                </c:pt>
                <c:pt idx="179">
                  <c:v>8.9500000000000099</c:v>
                </c:pt>
                <c:pt idx="180">
                  <c:v>9.0000000000000107</c:v>
                </c:pt>
                <c:pt idx="181">
                  <c:v>9.0500000000000114</c:v>
                </c:pt>
                <c:pt idx="182">
                  <c:v>9.1000000000000121</c:v>
                </c:pt>
                <c:pt idx="183">
                  <c:v>9.1500000000000128</c:v>
                </c:pt>
                <c:pt idx="184">
                  <c:v>9.2000000000000135</c:v>
                </c:pt>
                <c:pt idx="185">
                  <c:v>9.2500000000000142</c:v>
                </c:pt>
                <c:pt idx="186">
                  <c:v>9.3000000000000149</c:v>
                </c:pt>
                <c:pt idx="187">
                  <c:v>9.3500000000000156</c:v>
                </c:pt>
                <c:pt idx="188">
                  <c:v>9.4000000000000163</c:v>
                </c:pt>
                <c:pt idx="189">
                  <c:v>9.4500000000000171</c:v>
                </c:pt>
                <c:pt idx="190">
                  <c:v>9.5000000000000178</c:v>
                </c:pt>
                <c:pt idx="191">
                  <c:v>9.5500000000000185</c:v>
                </c:pt>
                <c:pt idx="192">
                  <c:v>9.6000000000000192</c:v>
                </c:pt>
                <c:pt idx="193">
                  <c:v>9.6500000000000199</c:v>
                </c:pt>
                <c:pt idx="194">
                  <c:v>9.7000000000000206</c:v>
                </c:pt>
                <c:pt idx="195">
                  <c:v>9.7500000000000213</c:v>
                </c:pt>
                <c:pt idx="196">
                  <c:v>9.800000000000022</c:v>
                </c:pt>
                <c:pt idx="197">
                  <c:v>9.8500000000000227</c:v>
                </c:pt>
                <c:pt idx="198">
                  <c:v>9.9000000000000234</c:v>
                </c:pt>
                <c:pt idx="199">
                  <c:v>9.9500000000000242</c:v>
                </c:pt>
                <c:pt idx="200">
                  <c:v>10.000000000000025</c:v>
                </c:pt>
                <c:pt idx="201">
                  <c:v>10.050000000000026</c:v>
                </c:pt>
                <c:pt idx="202">
                  <c:v>10.100000000000026</c:v>
                </c:pt>
                <c:pt idx="203">
                  <c:v>10.150000000000027</c:v>
                </c:pt>
                <c:pt idx="204">
                  <c:v>10.200000000000028</c:v>
                </c:pt>
                <c:pt idx="205">
                  <c:v>10.250000000000028</c:v>
                </c:pt>
                <c:pt idx="206">
                  <c:v>10.300000000000029</c:v>
                </c:pt>
                <c:pt idx="207">
                  <c:v>10.35000000000003</c:v>
                </c:pt>
                <c:pt idx="208">
                  <c:v>10.400000000000031</c:v>
                </c:pt>
                <c:pt idx="209">
                  <c:v>10.450000000000031</c:v>
                </c:pt>
                <c:pt idx="210">
                  <c:v>10.500000000000032</c:v>
                </c:pt>
                <c:pt idx="211">
                  <c:v>10.550000000000033</c:v>
                </c:pt>
                <c:pt idx="212">
                  <c:v>10.600000000000033</c:v>
                </c:pt>
                <c:pt idx="213">
                  <c:v>10.650000000000034</c:v>
                </c:pt>
                <c:pt idx="214">
                  <c:v>10.700000000000035</c:v>
                </c:pt>
                <c:pt idx="215">
                  <c:v>10.750000000000036</c:v>
                </c:pt>
                <c:pt idx="216">
                  <c:v>10.800000000000036</c:v>
                </c:pt>
                <c:pt idx="217">
                  <c:v>10.850000000000037</c:v>
                </c:pt>
                <c:pt idx="218">
                  <c:v>10.900000000000038</c:v>
                </c:pt>
                <c:pt idx="219">
                  <c:v>10.950000000000038</c:v>
                </c:pt>
                <c:pt idx="220">
                  <c:v>11.000000000000039</c:v>
                </c:pt>
                <c:pt idx="221">
                  <c:v>11.05000000000004</c:v>
                </c:pt>
                <c:pt idx="222">
                  <c:v>11.100000000000041</c:v>
                </c:pt>
                <c:pt idx="223">
                  <c:v>11.150000000000041</c:v>
                </c:pt>
                <c:pt idx="224">
                  <c:v>11.200000000000042</c:v>
                </c:pt>
                <c:pt idx="225">
                  <c:v>11.250000000000043</c:v>
                </c:pt>
                <c:pt idx="226">
                  <c:v>11.300000000000043</c:v>
                </c:pt>
                <c:pt idx="227">
                  <c:v>11.350000000000044</c:v>
                </c:pt>
                <c:pt idx="228">
                  <c:v>11.400000000000045</c:v>
                </c:pt>
                <c:pt idx="229">
                  <c:v>11.450000000000045</c:v>
                </c:pt>
                <c:pt idx="230">
                  <c:v>11.500000000000046</c:v>
                </c:pt>
                <c:pt idx="231">
                  <c:v>11.550000000000047</c:v>
                </c:pt>
                <c:pt idx="232">
                  <c:v>11.600000000000048</c:v>
                </c:pt>
                <c:pt idx="233">
                  <c:v>11.650000000000048</c:v>
                </c:pt>
                <c:pt idx="234">
                  <c:v>11.700000000000049</c:v>
                </c:pt>
                <c:pt idx="235">
                  <c:v>11.75000000000005</c:v>
                </c:pt>
                <c:pt idx="236">
                  <c:v>11.80000000000005</c:v>
                </c:pt>
                <c:pt idx="237">
                  <c:v>11.850000000000051</c:v>
                </c:pt>
                <c:pt idx="238">
                  <c:v>11.900000000000052</c:v>
                </c:pt>
                <c:pt idx="239">
                  <c:v>11.950000000000053</c:v>
                </c:pt>
                <c:pt idx="240">
                  <c:v>12.000000000000053</c:v>
                </c:pt>
                <c:pt idx="241">
                  <c:v>12.050000000000054</c:v>
                </c:pt>
                <c:pt idx="242">
                  <c:v>12.100000000000055</c:v>
                </c:pt>
                <c:pt idx="243">
                  <c:v>12.150000000000055</c:v>
                </c:pt>
                <c:pt idx="244">
                  <c:v>12.200000000000056</c:v>
                </c:pt>
                <c:pt idx="245">
                  <c:v>12.250000000000057</c:v>
                </c:pt>
                <c:pt idx="246">
                  <c:v>12.300000000000058</c:v>
                </c:pt>
                <c:pt idx="247">
                  <c:v>12.350000000000058</c:v>
                </c:pt>
                <c:pt idx="248">
                  <c:v>12.400000000000059</c:v>
                </c:pt>
                <c:pt idx="249">
                  <c:v>12.45000000000006</c:v>
                </c:pt>
                <c:pt idx="250">
                  <c:v>12.50000000000006</c:v>
                </c:pt>
                <c:pt idx="251">
                  <c:v>12.550000000000061</c:v>
                </c:pt>
                <c:pt idx="252">
                  <c:v>12.600000000000062</c:v>
                </c:pt>
                <c:pt idx="253">
                  <c:v>12.650000000000063</c:v>
                </c:pt>
                <c:pt idx="254">
                  <c:v>12.700000000000063</c:v>
                </c:pt>
                <c:pt idx="255">
                  <c:v>12.750000000000064</c:v>
                </c:pt>
                <c:pt idx="256">
                  <c:v>12.800000000000065</c:v>
                </c:pt>
                <c:pt idx="257">
                  <c:v>12.850000000000065</c:v>
                </c:pt>
                <c:pt idx="258">
                  <c:v>12.900000000000066</c:v>
                </c:pt>
                <c:pt idx="259">
                  <c:v>12.950000000000067</c:v>
                </c:pt>
                <c:pt idx="260">
                  <c:v>13.000000000000068</c:v>
                </c:pt>
                <c:pt idx="261">
                  <c:v>13.050000000000068</c:v>
                </c:pt>
                <c:pt idx="262">
                  <c:v>13.100000000000069</c:v>
                </c:pt>
                <c:pt idx="263">
                  <c:v>13.15000000000007</c:v>
                </c:pt>
                <c:pt idx="264">
                  <c:v>13.20000000000007</c:v>
                </c:pt>
                <c:pt idx="265">
                  <c:v>13.250000000000071</c:v>
                </c:pt>
                <c:pt idx="266">
                  <c:v>13.300000000000072</c:v>
                </c:pt>
                <c:pt idx="267">
                  <c:v>13.350000000000072</c:v>
                </c:pt>
                <c:pt idx="268">
                  <c:v>13.400000000000073</c:v>
                </c:pt>
                <c:pt idx="269">
                  <c:v>13.450000000000074</c:v>
                </c:pt>
                <c:pt idx="270">
                  <c:v>13.500000000000075</c:v>
                </c:pt>
                <c:pt idx="271">
                  <c:v>13.550000000000075</c:v>
                </c:pt>
                <c:pt idx="272">
                  <c:v>13.600000000000076</c:v>
                </c:pt>
                <c:pt idx="273">
                  <c:v>13.650000000000077</c:v>
                </c:pt>
                <c:pt idx="274">
                  <c:v>13.700000000000077</c:v>
                </c:pt>
                <c:pt idx="275">
                  <c:v>13.750000000000078</c:v>
                </c:pt>
                <c:pt idx="276">
                  <c:v>13.800000000000079</c:v>
                </c:pt>
                <c:pt idx="277">
                  <c:v>13.85000000000008</c:v>
                </c:pt>
                <c:pt idx="278">
                  <c:v>13.90000000000008</c:v>
                </c:pt>
                <c:pt idx="279">
                  <c:v>13.950000000000081</c:v>
                </c:pt>
                <c:pt idx="280">
                  <c:v>14.000000000000082</c:v>
                </c:pt>
                <c:pt idx="281">
                  <c:v>14.050000000000082</c:v>
                </c:pt>
                <c:pt idx="282">
                  <c:v>14.100000000000083</c:v>
                </c:pt>
                <c:pt idx="283">
                  <c:v>14.150000000000084</c:v>
                </c:pt>
                <c:pt idx="284">
                  <c:v>14.200000000000085</c:v>
                </c:pt>
                <c:pt idx="285">
                  <c:v>14.250000000000085</c:v>
                </c:pt>
                <c:pt idx="286">
                  <c:v>14.300000000000086</c:v>
                </c:pt>
                <c:pt idx="287">
                  <c:v>14.350000000000087</c:v>
                </c:pt>
                <c:pt idx="288">
                  <c:v>14.400000000000087</c:v>
                </c:pt>
                <c:pt idx="289">
                  <c:v>14.450000000000088</c:v>
                </c:pt>
                <c:pt idx="290">
                  <c:v>14.500000000000089</c:v>
                </c:pt>
                <c:pt idx="291">
                  <c:v>14.55000000000009</c:v>
                </c:pt>
                <c:pt idx="292">
                  <c:v>14.60000000000009</c:v>
                </c:pt>
                <c:pt idx="293">
                  <c:v>14.650000000000091</c:v>
                </c:pt>
                <c:pt idx="294">
                  <c:v>14.700000000000092</c:v>
                </c:pt>
                <c:pt idx="295">
                  <c:v>14.750000000000092</c:v>
                </c:pt>
                <c:pt idx="296">
                  <c:v>14.800000000000093</c:v>
                </c:pt>
                <c:pt idx="297">
                  <c:v>14.850000000000094</c:v>
                </c:pt>
                <c:pt idx="298">
                  <c:v>14.900000000000095</c:v>
                </c:pt>
                <c:pt idx="299">
                  <c:v>14.950000000000095</c:v>
                </c:pt>
                <c:pt idx="300">
                  <c:v>15.000000000000096</c:v>
                </c:pt>
                <c:pt idx="301">
                  <c:v>15.050000000000097</c:v>
                </c:pt>
                <c:pt idx="302">
                  <c:v>15.100000000000097</c:v>
                </c:pt>
                <c:pt idx="303">
                  <c:v>15.150000000000098</c:v>
                </c:pt>
                <c:pt idx="304">
                  <c:v>15.200000000000099</c:v>
                </c:pt>
                <c:pt idx="305">
                  <c:v>15.250000000000099</c:v>
                </c:pt>
                <c:pt idx="306">
                  <c:v>15.3000000000001</c:v>
                </c:pt>
                <c:pt idx="307">
                  <c:v>15.350000000000101</c:v>
                </c:pt>
                <c:pt idx="308">
                  <c:v>15.400000000000102</c:v>
                </c:pt>
                <c:pt idx="309">
                  <c:v>15.450000000000102</c:v>
                </c:pt>
                <c:pt idx="310">
                  <c:v>15.500000000000103</c:v>
                </c:pt>
                <c:pt idx="311">
                  <c:v>15.550000000000104</c:v>
                </c:pt>
                <c:pt idx="312">
                  <c:v>15.600000000000104</c:v>
                </c:pt>
                <c:pt idx="313">
                  <c:v>15.650000000000105</c:v>
                </c:pt>
                <c:pt idx="314">
                  <c:v>15.700000000000106</c:v>
                </c:pt>
                <c:pt idx="315">
                  <c:v>15.750000000000107</c:v>
                </c:pt>
                <c:pt idx="316">
                  <c:v>15.800000000000107</c:v>
                </c:pt>
                <c:pt idx="317">
                  <c:v>15.850000000000108</c:v>
                </c:pt>
                <c:pt idx="318">
                  <c:v>15.900000000000109</c:v>
                </c:pt>
                <c:pt idx="319">
                  <c:v>15.950000000000109</c:v>
                </c:pt>
                <c:pt idx="320">
                  <c:v>16.00000000000011</c:v>
                </c:pt>
                <c:pt idx="321">
                  <c:v>16.050000000000111</c:v>
                </c:pt>
                <c:pt idx="322">
                  <c:v>16.100000000000112</c:v>
                </c:pt>
                <c:pt idx="323">
                  <c:v>16.150000000000112</c:v>
                </c:pt>
                <c:pt idx="324">
                  <c:v>16.200000000000113</c:v>
                </c:pt>
                <c:pt idx="325">
                  <c:v>16.250000000000114</c:v>
                </c:pt>
                <c:pt idx="326">
                  <c:v>16.300000000000114</c:v>
                </c:pt>
                <c:pt idx="327">
                  <c:v>16.350000000000115</c:v>
                </c:pt>
                <c:pt idx="328">
                  <c:v>16.400000000000116</c:v>
                </c:pt>
                <c:pt idx="329">
                  <c:v>16.450000000000117</c:v>
                </c:pt>
                <c:pt idx="330">
                  <c:v>16.500000000000117</c:v>
                </c:pt>
                <c:pt idx="331">
                  <c:v>16.550000000000118</c:v>
                </c:pt>
                <c:pt idx="332">
                  <c:v>16.600000000000119</c:v>
                </c:pt>
                <c:pt idx="333">
                  <c:v>16.650000000000119</c:v>
                </c:pt>
                <c:pt idx="334">
                  <c:v>16.70000000000012</c:v>
                </c:pt>
                <c:pt idx="335">
                  <c:v>16.750000000000121</c:v>
                </c:pt>
                <c:pt idx="336">
                  <c:v>16.800000000000122</c:v>
                </c:pt>
                <c:pt idx="337">
                  <c:v>16.850000000000122</c:v>
                </c:pt>
                <c:pt idx="338">
                  <c:v>16.900000000000123</c:v>
                </c:pt>
                <c:pt idx="339">
                  <c:v>16.950000000000124</c:v>
                </c:pt>
                <c:pt idx="340">
                  <c:v>17.000000000000124</c:v>
                </c:pt>
                <c:pt idx="341">
                  <c:v>17.050000000000125</c:v>
                </c:pt>
                <c:pt idx="342">
                  <c:v>17.100000000000126</c:v>
                </c:pt>
                <c:pt idx="343">
                  <c:v>17.150000000000126</c:v>
                </c:pt>
                <c:pt idx="344">
                  <c:v>17.200000000000127</c:v>
                </c:pt>
                <c:pt idx="345">
                  <c:v>17.250000000000128</c:v>
                </c:pt>
                <c:pt idx="346">
                  <c:v>17.300000000000129</c:v>
                </c:pt>
                <c:pt idx="347">
                  <c:v>17.350000000000129</c:v>
                </c:pt>
                <c:pt idx="348">
                  <c:v>17.40000000000013</c:v>
                </c:pt>
                <c:pt idx="349">
                  <c:v>17.450000000000131</c:v>
                </c:pt>
                <c:pt idx="350">
                  <c:v>17.500000000000131</c:v>
                </c:pt>
                <c:pt idx="351">
                  <c:v>17.550000000000132</c:v>
                </c:pt>
                <c:pt idx="352">
                  <c:v>17.600000000000133</c:v>
                </c:pt>
              </c:numCache>
            </c:numRef>
          </c:xVal>
          <c:yVal>
            <c:numRef>
              <c:f>'Coriolis Manufact Error'!$F$6:$F$358</c:f>
              <c:numCache>
                <c:formatCode>0.00</c:formatCode>
                <c:ptCount val="353"/>
                <c:pt idx="0">
                  <c:v>-2.6944444444444446</c:v>
                </c:pt>
                <c:pt idx="1">
                  <c:v>-1.996031746031746</c:v>
                </c:pt>
                <c:pt idx="2">
                  <c:v>-1.4722222222222223</c:v>
                </c:pt>
                <c:pt idx="3">
                  <c:v>-1.0648148148148149</c:v>
                </c:pt>
                <c:pt idx="4">
                  <c:v>-0.86111111111111116</c:v>
                </c:pt>
                <c:pt idx="5">
                  <c:v>-0.73888888888888893</c:v>
                </c:pt>
                <c:pt idx="6">
                  <c:v>-0.65740740740740744</c:v>
                </c:pt>
                <c:pt idx="7">
                  <c:v>-0.5992063492063493</c:v>
                </c:pt>
                <c:pt idx="8">
                  <c:v>-0.55555555555555558</c:v>
                </c:pt>
                <c:pt idx="9">
                  <c:v>-0.52160493827160503</c:v>
                </c:pt>
                <c:pt idx="10">
                  <c:v>-0.49444444444444446</c:v>
                </c:pt>
                <c:pt idx="11">
                  <c:v>-0.47222222222222221</c:v>
                </c:pt>
                <c:pt idx="12">
                  <c:v>-0.45370370370370372</c:v>
                </c:pt>
                <c:pt idx="13">
                  <c:v>-0.43803418803418803</c:v>
                </c:pt>
                <c:pt idx="14">
                  <c:v>-0.42460317460317465</c:v>
                </c:pt>
                <c:pt idx="15">
                  <c:v>-0.41296296296296298</c:v>
                </c:pt>
                <c:pt idx="16">
                  <c:v>-0.40277777777777779</c:v>
                </c:pt>
                <c:pt idx="17">
                  <c:v>-0.39379084967320266</c:v>
                </c:pt>
                <c:pt idx="18">
                  <c:v>-0.38580246913580252</c:v>
                </c:pt>
                <c:pt idx="19">
                  <c:v>-0.37865497076023391</c:v>
                </c:pt>
                <c:pt idx="20">
                  <c:v>-0.37222222222222223</c:v>
                </c:pt>
                <c:pt idx="21">
                  <c:v>-0.3664021164021164</c:v>
                </c:pt>
                <c:pt idx="22">
                  <c:v>-0.3611111111111111</c:v>
                </c:pt>
                <c:pt idx="23">
                  <c:v>-0.356280193236715</c:v>
                </c:pt>
                <c:pt idx="24">
                  <c:v>-0.35185185185185186</c:v>
                </c:pt>
                <c:pt idx="25">
                  <c:v>-0.3477777777777778</c:v>
                </c:pt>
                <c:pt idx="26">
                  <c:v>-0.34401709401709402</c:v>
                </c:pt>
                <c:pt idx="27">
                  <c:v>-0.34053497942386834</c:v>
                </c:pt>
                <c:pt idx="28">
                  <c:v>-0.33730158730158732</c:v>
                </c:pt>
                <c:pt idx="29">
                  <c:v>-0.33429118773946365</c:v>
                </c:pt>
                <c:pt idx="30">
                  <c:v>-0.33148148148148149</c:v>
                </c:pt>
                <c:pt idx="31">
                  <c:v>-0.3288530465949821</c:v>
                </c:pt>
                <c:pt idx="32">
                  <c:v>-0.3263888888888889</c:v>
                </c:pt>
                <c:pt idx="33">
                  <c:v>-0.32407407407407407</c:v>
                </c:pt>
                <c:pt idx="34">
                  <c:v>-0.32189542483660133</c:v>
                </c:pt>
                <c:pt idx="35">
                  <c:v>-0.31984126984126982</c:v>
                </c:pt>
                <c:pt idx="36">
                  <c:v>-0.31790123456790126</c:v>
                </c:pt>
                <c:pt idx="37">
                  <c:v>-0.31606606606606608</c:v>
                </c:pt>
                <c:pt idx="38">
                  <c:v>-0.31432748538011696</c:v>
                </c:pt>
                <c:pt idx="39">
                  <c:v>-0.3126780626780627</c:v>
                </c:pt>
                <c:pt idx="40">
                  <c:v>-0.31111111111111112</c:v>
                </c:pt>
                <c:pt idx="41">
                  <c:v>-0.30962059620596205</c:v>
                </c:pt>
                <c:pt idx="42">
                  <c:v>-0.3082010582010582</c:v>
                </c:pt>
                <c:pt idx="43">
                  <c:v>-0.30684754521963825</c:v>
                </c:pt>
                <c:pt idx="44">
                  <c:v>-0.30555555555555558</c:v>
                </c:pt>
                <c:pt idx="45">
                  <c:v>-0.30432098765432103</c:v>
                </c:pt>
                <c:pt idx="46">
                  <c:v>-0.3031400966183575</c:v>
                </c:pt>
                <c:pt idx="47">
                  <c:v>-0.30200945626477543</c:v>
                </c:pt>
                <c:pt idx="48">
                  <c:v>-0.30092592592592593</c:v>
                </c:pt>
                <c:pt idx="49">
                  <c:v>-0.29988662131519273</c:v>
                </c:pt>
                <c:pt idx="50">
                  <c:v>-0.29888888888888887</c:v>
                </c:pt>
                <c:pt idx="51">
                  <c:v>-0.2979302832244009</c:v>
                </c:pt>
                <c:pt idx="52">
                  <c:v>-0.29700854700854701</c:v>
                </c:pt>
                <c:pt idx="53">
                  <c:v>-0.29612159329140464</c:v>
                </c:pt>
                <c:pt idx="54">
                  <c:v>-0.29526748971193417</c:v>
                </c:pt>
                <c:pt idx="55">
                  <c:v>-0.29444444444444445</c:v>
                </c:pt>
                <c:pt idx="56">
                  <c:v>-0.29365079365079366</c:v>
                </c:pt>
                <c:pt idx="57">
                  <c:v>-0.2928849902534113</c:v>
                </c:pt>
                <c:pt idx="58">
                  <c:v>-0.29214559386973182</c:v>
                </c:pt>
                <c:pt idx="59">
                  <c:v>-0.29143126177024481</c:v>
                </c:pt>
                <c:pt idx="60">
                  <c:v>-0.29074074074074074</c:v>
                </c:pt>
                <c:pt idx="61">
                  <c:v>-0.29007285974499092</c:v>
                </c:pt>
                <c:pt idx="62">
                  <c:v>-0.28942652329749102</c:v>
                </c:pt>
                <c:pt idx="63">
                  <c:v>-0.28880070546737213</c:v>
                </c:pt>
                <c:pt idx="64">
                  <c:v>-0.28819444444444442</c:v>
                </c:pt>
                <c:pt idx="65">
                  <c:v>-0.28760683760683758</c:v>
                </c:pt>
                <c:pt idx="66">
                  <c:v>-0.28703703703703703</c:v>
                </c:pt>
                <c:pt idx="67">
                  <c:v>-0.28648424543946932</c:v>
                </c:pt>
                <c:pt idx="68">
                  <c:v>-0.28594771241830064</c:v>
                </c:pt>
                <c:pt idx="69">
                  <c:v>-0.28542673107890498</c:v>
                </c:pt>
                <c:pt idx="70">
                  <c:v>-0.28492063492063491</c:v>
                </c:pt>
                <c:pt idx="71">
                  <c:v>-0.28442879499217527</c:v>
                </c:pt>
                <c:pt idx="72">
                  <c:v>-0.2839506172839506</c:v>
                </c:pt>
                <c:pt idx="73">
                  <c:v>-0.2834855403348554</c:v>
                </c:pt>
                <c:pt idx="74">
                  <c:v>-0.28303303303303307</c:v>
                </c:pt>
                <c:pt idx="75">
                  <c:v>-0.28259259259259262</c:v>
                </c:pt>
                <c:pt idx="76">
                  <c:v>-0.28216374269005851</c:v>
                </c:pt>
                <c:pt idx="77">
                  <c:v>-0.28174603174603174</c:v>
                </c:pt>
                <c:pt idx="78">
                  <c:v>-0.28133903133903138</c:v>
                </c:pt>
                <c:pt idx="79">
                  <c:v>-0.28094233473980312</c:v>
                </c:pt>
                <c:pt idx="80">
                  <c:v>-0.28055555555555556</c:v>
                </c:pt>
                <c:pt idx="81">
                  <c:v>-0.28017832647462276</c:v>
                </c:pt>
                <c:pt idx="82">
                  <c:v>-0.27981029810298103</c:v>
                </c:pt>
                <c:pt idx="83">
                  <c:v>-0.2794511378848728</c:v>
                </c:pt>
                <c:pt idx="84">
                  <c:v>-0.27910052910052913</c:v>
                </c:pt>
                <c:pt idx="85">
                  <c:v>-0.27875816993464053</c:v>
                </c:pt>
                <c:pt idx="86">
                  <c:v>-0.27842377260981915</c:v>
                </c:pt>
                <c:pt idx="87">
                  <c:v>-0.2780970625798212</c:v>
                </c:pt>
                <c:pt idx="88">
                  <c:v>-0.27777777777777779</c:v>
                </c:pt>
                <c:pt idx="89">
                  <c:v>-0.27746566791510613</c:v>
                </c:pt>
                <c:pt idx="90">
                  <c:v>-0.27716049382716051</c:v>
                </c:pt>
                <c:pt idx="91">
                  <c:v>-0.27686202686202688</c:v>
                </c:pt>
                <c:pt idx="92">
                  <c:v>-0.27657004830917875</c:v>
                </c:pt>
                <c:pt idx="93">
                  <c:v>-0.27628434886499403</c:v>
                </c:pt>
                <c:pt idx="94">
                  <c:v>-0.27600472813238769</c:v>
                </c:pt>
                <c:pt idx="95">
                  <c:v>-0.27573099415204677</c:v>
                </c:pt>
                <c:pt idx="96">
                  <c:v>-0.27546296296296297</c:v>
                </c:pt>
                <c:pt idx="97">
                  <c:v>-0.27520045819014893</c:v>
                </c:pt>
                <c:pt idx="98">
                  <c:v>-0.27494331065759636</c:v>
                </c:pt>
                <c:pt idx="99">
                  <c:v>-0.27469135802469136</c:v>
                </c:pt>
                <c:pt idx="100">
                  <c:v>-0.27444444444444444</c:v>
                </c:pt>
                <c:pt idx="101">
                  <c:v>-0.27420242024202424</c:v>
                </c:pt>
                <c:pt idx="102">
                  <c:v>-0.27396514161220042</c:v>
                </c:pt>
                <c:pt idx="103">
                  <c:v>-0.27373247033441206</c:v>
                </c:pt>
                <c:pt idx="104">
                  <c:v>-0.27350427350427353</c:v>
                </c:pt>
                <c:pt idx="105">
                  <c:v>-0.27328042328042329</c:v>
                </c:pt>
                <c:pt idx="106">
                  <c:v>-0.27306079664570232</c:v>
                </c:pt>
                <c:pt idx="107">
                  <c:v>-0.2728452751817238</c:v>
                </c:pt>
                <c:pt idx="108">
                  <c:v>-0.27263374485596709</c:v>
                </c:pt>
                <c:pt idx="109">
                  <c:v>-0.27242609582059124</c:v>
                </c:pt>
                <c:pt idx="110">
                  <c:v>-0.27222222222222225</c:v>
                </c:pt>
                <c:pt idx="111">
                  <c:v>-0.27202202202202203</c:v>
                </c:pt>
                <c:pt idx="112">
                  <c:v>-0.27182539682539686</c:v>
                </c:pt>
                <c:pt idx="113">
                  <c:v>-0.27163225172074729</c:v>
                </c:pt>
                <c:pt idx="114">
                  <c:v>-0.27144249512670565</c:v>
                </c:pt>
                <c:pt idx="115">
                  <c:v>-0.27125603864734299</c:v>
                </c:pt>
                <c:pt idx="116">
                  <c:v>-0.27107279693486591</c:v>
                </c:pt>
                <c:pt idx="117">
                  <c:v>-0.27089268755935425</c:v>
                </c:pt>
                <c:pt idx="118">
                  <c:v>-0.2707156308851224</c:v>
                </c:pt>
                <c:pt idx="119">
                  <c:v>-0.27054154995331464</c:v>
                </c:pt>
                <c:pt idx="120">
                  <c:v>-0.27037037037037037</c:v>
                </c:pt>
                <c:pt idx="121">
                  <c:v>-0.27020202020202022</c:v>
                </c:pt>
                <c:pt idx="122">
                  <c:v>-0.27003642987249543</c:v>
                </c:pt>
                <c:pt idx="123">
                  <c:v>-0.269873532068654</c:v>
                </c:pt>
                <c:pt idx="124">
                  <c:v>-0.26971326164874554</c:v>
                </c:pt>
                <c:pt idx="125">
                  <c:v>-0.26955555555555555</c:v>
                </c:pt>
                <c:pt idx="126">
                  <c:v>-0.26940035273368607</c:v>
                </c:pt>
                <c:pt idx="127">
                  <c:v>-0.26924759405074367</c:v>
                </c:pt>
                <c:pt idx="128">
                  <c:v>-0.26909722222222221</c:v>
                </c:pt>
                <c:pt idx="129">
                  <c:v>-0.26894918173987942</c:v>
                </c:pt>
                <c:pt idx="130">
                  <c:v>-0.26880341880341879</c:v>
                </c:pt>
                <c:pt idx="131">
                  <c:v>-0.2686598812553011</c:v>
                </c:pt>
                <c:pt idx="132">
                  <c:v>-0.26851851851851855</c:v>
                </c:pt>
                <c:pt idx="133">
                  <c:v>-0.26837928153717627</c:v>
                </c:pt>
                <c:pt idx="134">
                  <c:v>-0.26824212271973469</c:v>
                </c:pt>
                <c:pt idx="135">
                  <c:v>-0.26810699588477366</c:v>
                </c:pt>
                <c:pt idx="136">
                  <c:v>-0.26797385620915032</c:v>
                </c:pt>
                <c:pt idx="137">
                  <c:v>-0.26784266017842662</c:v>
                </c:pt>
                <c:pt idx="138">
                  <c:v>-0.26771336553945252</c:v>
                </c:pt>
                <c:pt idx="139">
                  <c:v>-0.26758593125499602</c:v>
                </c:pt>
                <c:pt idx="140">
                  <c:v>-0.26746031746031745</c:v>
                </c:pt>
                <c:pt idx="141">
                  <c:v>-0.26733648542159183</c:v>
                </c:pt>
                <c:pt idx="142">
                  <c:v>-0.26721439749608766</c:v>
                </c:pt>
                <c:pt idx="143">
                  <c:v>-0.26709401709401709</c:v>
                </c:pt>
                <c:pt idx="144">
                  <c:v>-0.26697530864197533</c:v>
                </c:pt>
                <c:pt idx="145">
                  <c:v>-0.26685823754789273</c:v>
                </c:pt>
                <c:pt idx="146">
                  <c:v>-0.2667427701674277</c:v>
                </c:pt>
                <c:pt idx="147">
                  <c:v>-0.26662887377173095</c:v>
                </c:pt>
                <c:pt idx="148">
                  <c:v>-0.26651651651651653</c:v>
                </c:pt>
                <c:pt idx="149">
                  <c:v>-0.26640566741237881</c:v>
                </c:pt>
                <c:pt idx="150">
                  <c:v>-0.26629629629629631</c:v>
                </c:pt>
                <c:pt idx="151">
                  <c:v>-0.26618837380426785</c:v>
                </c:pt>
                <c:pt idx="152">
                  <c:v>-0.26608187134502925</c:v>
                </c:pt>
                <c:pt idx="153">
                  <c:v>-0.26597676107480028</c:v>
                </c:pt>
                <c:pt idx="154">
                  <c:v>-0.26587301587301587</c:v>
                </c:pt>
                <c:pt idx="155">
                  <c:v>-0.26577060931899643</c:v>
                </c:pt>
                <c:pt idx="156">
                  <c:v>-0.26566951566951569</c:v>
                </c:pt>
                <c:pt idx="157">
                  <c:v>-0.26556970983722578</c:v>
                </c:pt>
                <c:pt idx="158">
                  <c:v>-0.26547116736990156</c:v>
                </c:pt>
                <c:pt idx="159">
                  <c:v>-0.26537386443046823</c:v>
                </c:pt>
                <c:pt idx="160">
                  <c:v>-0.26527777777777778</c:v>
                </c:pt>
                <c:pt idx="161">
                  <c:v>-0.26518288474810214</c:v>
                </c:pt>
                <c:pt idx="162">
                  <c:v>-0.26508916323731141</c:v>
                </c:pt>
                <c:pt idx="163">
                  <c:v>-0.26499659168370826</c:v>
                </c:pt>
                <c:pt idx="164">
                  <c:v>-0.26490514905149054</c:v>
                </c:pt>
                <c:pt idx="165">
                  <c:v>-0.26481481481481484</c:v>
                </c:pt>
                <c:pt idx="166">
                  <c:v>-0.26472556894243643</c:v>
                </c:pt>
                <c:pt idx="167">
                  <c:v>-0.26463739188290086</c:v>
                </c:pt>
                <c:pt idx="168">
                  <c:v>-0.26455026455026454</c:v>
                </c:pt>
                <c:pt idx="169">
                  <c:v>-0.26446416831032216</c:v>
                </c:pt>
                <c:pt idx="170">
                  <c:v>-0.26437908496732027</c:v>
                </c:pt>
                <c:pt idx="171">
                  <c:v>-0.2642949967511371</c:v>
                </c:pt>
                <c:pt idx="172">
                  <c:v>-0.26421188630490955</c:v>
                </c:pt>
                <c:pt idx="173">
                  <c:v>-0.26412973667308925</c:v>
                </c:pt>
                <c:pt idx="174">
                  <c:v>-0.26404853128991057</c:v>
                </c:pt>
                <c:pt idx="175">
                  <c:v>-0.26396825396825396</c:v>
                </c:pt>
                <c:pt idx="176">
                  <c:v>-0.2638888888888889</c:v>
                </c:pt>
                <c:pt idx="177">
                  <c:v>-0.26381042059008158</c:v>
                </c:pt>
                <c:pt idx="178">
                  <c:v>-0.26373283395755304</c:v>
                </c:pt>
                <c:pt idx="179">
                  <c:v>-0.26365611421477342</c:v>
                </c:pt>
                <c:pt idx="180">
                  <c:v>-0.26358024691358023</c:v>
                </c:pt>
                <c:pt idx="181">
                  <c:v>-0.26350521792510739</c:v>
                </c:pt>
                <c:pt idx="182">
                  <c:v>-0.26343101343101344</c:v>
                </c:pt>
                <c:pt idx="183">
                  <c:v>-0.26335761991499695</c:v>
                </c:pt>
                <c:pt idx="184">
                  <c:v>-0.26328502415458938</c:v>
                </c:pt>
                <c:pt idx="185">
                  <c:v>-0.26321321321321317</c:v>
                </c:pt>
                <c:pt idx="186">
                  <c:v>-0.26314217443249699</c:v>
                </c:pt>
                <c:pt idx="187">
                  <c:v>-0.26307189542483655</c:v>
                </c:pt>
                <c:pt idx="188">
                  <c:v>-0.26300236406619382</c:v>
                </c:pt>
                <c:pt idx="189">
                  <c:v>-0.26293356848912403</c:v>
                </c:pt>
                <c:pt idx="190">
                  <c:v>-0.26286549707602336</c:v>
                </c:pt>
                <c:pt idx="191">
                  <c:v>-0.2627981384525887</c:v>
                </c:pt>
                <c:pt idx="192">
                  <c:v>-0.26273148148148145</c:v>
                </c:pt>
                <c:pt idx="193">
                  <c:v>-0.26266551525618881</c:v>
                </c:pt>
                <c:pt idx="194">
                  <c:v>-0.26260022909507441</c:v>
                </c:pt>
                <c:pt idx="195">
                  <c:v>-0.26253561253561253</c:v>
                </c:pt>
                <c:pt idx="196">
                  <c:v>-0.26247165532879818</c:v>
                </c:pt>
                <c:pt idx="197">
                  <c:v>-0.2624083474337281</c:v>
                </c:pt>
                <c:pt idx="198">
                  <c:v>-0.26234567901234568</c:v>
                </c:pt>
                <c:pt idx="199">
                  <c:v>-0.26228364042434393</c:v>
                </c:pt>
                <c:pt idx="200">
                  <c:v>-0.26222222222222219</c:v>
                </c:pt>
                <c:pt idx="201">
                  <c:v>-0.26216141514648972</c:v>
                </c:pt>
                <c:pt idx="202">
                  <c:v>-0.26210121012101206</c:v>
                </c:pt>
                <c:pt idx="203">
                  <c:v>-0.26204159824849477</c:v>
                </c:pt>
                <c:pt idx="204">
                  <c:v>-0.26198257080610021</c:v>
                </c:pt>
                <c:pt idx="205">
                  <c:v>-0.26192411924119235</c:v>
                </c:pt>
                <c:pt idx="206">
                  <c:v>-0.26186623516720603</c:v>
                </c:pt>
                <c:pt idx="207">
                  <c:v>-0.26180891035963494</c:v>
                </c:pt>
                <c:pt idx="208">
                  <c:v>-0.26175213675213671</c:v>
                </c:pt>
                <c:pt idx="209">
                  <c:v>-0.26169590643274848</c:v>
                </c:pt>
                <c:pt idx="210">
                  <c:v>-0.26164021164021162</c:v>
                </c:pt>
                <c:pt idx="211">
                  <c:v>-0.26158504476040018</c:v>
                </c:pt>
                <c:pt idx="212">
                  <c:v>-0.26153039832285113</c:v>
                </c:pt>
                <c:pt idx="213">
                  <c:v>-0.26147626499739174</c:v>
                </c:pt>
                <c:pt idx="214">
                  <c:v>-0.26142263759086187</c:v>
                </c:pt>
                <c:pt idx="215">
                  <c:v>-0.26136950904392764</c:v>
                </c:pt>
                <c:pt idx="216">
                  <c:v>-0.26131687242798352</c:v>
                </c:pt>
                <c:pt idx="217">
                  <c:v>-0.26126472094214026</c:v>
                </c:pt>
                <c:pt idx="218">
                  <c:v>-0.26121304791029559</c:v>
                </c:pt>
                <c:pt idx="219">
                  <c:v>-0.26116184677828508</c:v>
                </c:pt>
                <c:pt idx="220">
                  <c:v>-0.26111111111111107</c:v>
                </c:pt>
                <c:pt idx="221">
                  <c:v>-0.26106083459024632</c:v>
                </c:pt>
                <c:pt idx="222">
                  <c:v>-0.26101101101101098</c:v>
                </c:pt>
                <c:pt idx="223">
                  <c:v>-0.26096163428001989</c:v>
                </c:pt>
                <c:pt idx="224">
                  <c:v>-0.26091269841269837</c:v>
                </c:pt>
                <c:pt idx="225">
                  <c:v>-0.26086419753086415</c:v>
                </c:pt>
                <c:pt idx="226">
                  <c:v>-0.26081612586037362</c:v>
                </c:pt>
                <c:pt idx="227">
                  <c:v>-0.26076847772883011</c:v>
                </c:pt>
                <c:pt idx="228">
                  <c:v>-0.2607212475633528</c:v>
                </c:pt>
                <c:pt idx="229">
                  <c:v>-0.26067442988840367</c:v>
                </c:pt>
                <c:pt idx="230">
                  <c:v>-0.26062801932367147</c:v>
                </c:pt>
                <c:pt idx="231">
                  <c:v>-0.26058201058201053</c:v>
                </c:pt>
                <c:pt idx="232">
                  <c:v>-0.26053639846743293</c:v>
                </c:pt>
                <c:pt idx="233">
                  <c:v>-0.26049117787315207</c:v>
                </c:pt>
                <c:pt idx="234">
                  <c:v>-0.26044634377967707</c:v>
                </c:pt>
                <c:pt idx="235">
                  <c:v>-0.26040189125295504</c:v>
                </c:pt>
                <c:pt idx="236">
                  <c:v>-0.26035781544256115</c:v>
                </c:pt>
                <c:pt idx="237">
                  <c:v>-0.26031411157993434</c:v>
                </c:pt>
                <c:pt idx="238">
                  <c:v>-0.26027077497665729</c:v>
                </c:pt>
                <c:pt idx="239">
                  <c:v>-0.26022780102278004</c:v>
                </c:pt>
                <c:pt idx="240">
                  <c:v>-0.26018518518518513</c:v>
                </c:pt>
                <c:pt idx="241">
                  <c:v>-0.26014292300599351</c:v>
                </c:pt>
                <c:pt idx="242">
                  <c:v>-0.26010101010101006</c:v>
                </c:pt>
                <c:pt idx="243">
                  <c:v>-0.26005944215820753</c:v>
                </c:pt>
                <c:pt idx="244">
                  <c:v>-0.26001821493624766</c:v>
                </c:pt>
                <c:pt idx="245">
                  <c:v>-0.25997732426303849</c:v>
                </c:pt>
                <c:pt idx="246">
                  <c:v>-0.25993676603432697</c:v>
                </c:pt>
                <c:pt idx="247">
                  <c:v>-0.25989653621232567</c:v>
                </c:pt>
                <c:pt idx="248">
                  <c:v>-0.25985663082437271</c:v>
                </c:pt>
                <c:pt idx="249">
                  <c:v>-0.25981704596162425</c:v>
                </c:pt>
                <c:pt idx="250">
                  <c:v>-0.25977777777777772</c:v>
                </c:pt>
                <c:pt idx="251">
                  <c:v>-0.25973882248782643</c:v>
                </c:pt>
                <c:pt idx="252">
                  <c:v>-0.25970017636684301</c:v>
                </c:pt>
                <c:pt idx="253">
                  <c:v>-0.2596618357487922</c:v>
                </c:pt>
                <c:pt idx="254">
                  <c:v>-0.25962379702537181</c:v>
                </c:pt>
                <c:pt idx="255">
                  <c:v>-0.2595860566448801</c:v>
                </c:pt>
                <c:pt idx="256">
                  <c:v>-0.25954861111111105</c:v>
                </c:pt>
                <c:pt idx="257">
                  <c:v>-0.25951145698227407</c:v>
                </c:pt>
                <c:pt idx="258">
                  <c:v>-0.25947459086993968</c:v>
                </c:pt>
                <c:pt idx="259">
                  <c:v>-0.25943800943800938</c:v>
                </c:pt>
                <c:pt idx="260">
                  <c:v>-0.25940170940170937</c:v>
                </c:pt>
                <c:pt idx="261">
                  <c:v>-0.25936568752660705</c:v>
                </c:pt>
                <c:pt idx="262">
                  <c:v>-0.25932994062765052</c:v>
                </c:pt>
                <c:pt idx="263">
                  <c:v>-0.25929446556822977</c:v>
                </c:pt>
                <c:pt idx="264">
                  <c:v>-0.25925925925925919</c:v>
                </c:pt>
                <c:pt idx="265">
                  <c:v>-0.25922431865828088</c:v>
                </c:pt>
                <c:pt idx="266">
                  <c:v>-0.25918964076858808</c:v>
                </c:pt>
                <c:pt idx="267">
                  <c:v>-0.25915522263836865</c:v>
                </c:pt>
                <c:pt idx="268">
                  <c:v>-0.25912106135986729</c:v>
                </c:pt>
                <c:pt idx="269">
                  <c:v>-0.25908715406856664</c:v>
                </c:pt>
                <c:pt idx="270">
                  <c:v>-0.2590534979423868</c:v>
                </c:pt>
                <c:pt idx="271">
                  <c:v>-0.25902009020090194</c:v>
                </c:pt>
                <c:pt idx="272">
                  <c:v>-0.25898692810457513</c:v>
                </c:pt>
                <c:pt idx="273">
                  <c:v>-0.25895400895400889</c:v>
                </c:pt>
                <c:pt idx="274">
                  <c:v>-0.25892133008921325</c:v>
                </c:pt>
                <c:pt idx="275">
                  <c:v>-0.25888888888888884</c:v>
                </c:pt>
                <c:pt idx="276">
                  <c:v>-0.25885668276972618</c:v>
                </c:pt>
                <c:pt idx="277">
                  <c:v>-0.25882470918571998</c:v>
                </c:pt>
                <c:pt idx="278">
                  <c:v>-0.25879296562749793</c:v>
                </c:pt>
                <c:pt idx="279">
                  <c:v>-0.25876144962166464</c:v>
                </c:pt>
                <c:pt idx="280">
                  <c:v>-0.2587301587301587</c:v>
                </c:pt>
                <c:pt idx="281">
                  <c:v>-0.25869909054962431</c:v>
                </c:pt>
                <c:pt idx="282">
                  <c:v>-0.25866824271079586</c:v>
                </c:pt>
                <c:pt idx="283">
                  <c:v>-0.2586376128778955</c:v>
                </c:pt>
                <c:pt idx="284">
                  <c:v>-0.25860719874804378</c:v>
                </c:pt>
                <c:pt idx="285">
                  <c:v>-0.25857699805068224</c:v>
                </c:pt>
                <c:pt idx="286">
                  <c:v>-0.25854700854700852</c:v>
                </c:pt>
                <c:pt idx="287">
                  <c:v>-0.25851722802942312</c:v>
                </c:pt>
                <c:pt idx="288">
                  <c:v>-0.25848765432098758</c:v>
                </c:pt>
                <c:pt idx="289">
                  <c:v>-0.25845828527489423</c:v>
                </c:pt>
                <c:pt idx="290">
                  <c:v>-0.25842911877394631</c:v>
                </c:pt>
                <c:pt idx="291">
                  <c:v>-0.25840015273004957</c:v>
                </c:pt>
                <c:pt idx="292">
                  <c:v>-0.25837138508371382</c:v>
                </c:pt>
                <c:pt idx="293">
                  <c:v>-0.25834281380356461</c:v>
                </c:pt>
                <c:pt idx="294">
                  <c:v>-0.25831443688586542</c:v>
                </c:pt>
                <c:pt idx="295">
                  <c:v>-0.2582862523540489</c:v>
                </c:pt>
                <c:pt idx="296">
                  <c:v>-0.25825825825825821</c:v>
                </c:pt>
                <c:pt idx="297">
                  <c:v>-0.25823045267489708</c:v>
                </c:pt>
                <c:pt idx="298">
                  <c:v>-0.25820283370618935</c:v>
                </c:pt>
                <c:pt idx="299">
                  <c:v>-0.25817539947974727</c:v>
                </c:pt>
                <c:pt idx="300">
                  <c:v>-0.25814814814814807</c:v>
                </c:pt>
                <c:pt idx="301">
                  <c:v>-0.25812107788851968</c:v>
                </c:pt>
                <c:pt idx="302">
                  <c:v>-0.25809418690213387</c:v>
                </c:pt>
                <c:pt idx="303">
                  <c:v>-0.25806747341400804</c:v>
                </c:pt>
                <c:pt idx="304">
                  <c:v>-0.25804093567251457</c:v>
                </c:pt>
                <c:pt idx="305">
                  <c:v>-0.25801457194899813</c:v>
                </c:pt>
                <c:pt idx="306">
                  <c:v>-0.25798838053740009</c:v>
                </c:pt>
                <c:pt idx="307">
                  <c:v>-0.25796235975389065</c:v>
                </c:pt>
                <c:pt idx="308">
                  <c:v>-0.25793650793650791</c:v>
                </c:pt>
                <c:pt idx="309">
                  <c:v>-0.25791082344480398</c:v>
                </c:pt>
                <c:pt idx="310">
                  <c:v>-0.25788530465949816</c:v>
                </c:pt>
                <c:pt idx="311">
                  <c:v>-0.2578599499821364</c:v>
                </c:pt>
                <c:pt idx="312">
                  <c:v>-0.25783475783475779</c:v>
                </c:pt>
                <c:pt idx="313">
                  <c:v>-0.25780972665956686</c:v>
                </c:pt>
                <c:pt idx="314">
                  <c:v>-0.2577848549186128</c:v>
                </c:pt>
                <c:pt idx="315">
                  <c:v>-0.25776014109347439</c:v>
                </c:pt>
                <c:pt idx="316">
                  <c:v>-0.2577355836849507</c:v>
                </c:pt>
                <c:pt idx="317">
                  <c:v>-0.25771118121275843</c:v>
                </c:pt>
                <c:pt idx="318">
                  <c:v>-0.25768693221523403</c:v>
                </c:pt>
                <c:pt idx="319">
                  <c:v>-0.2576628352490421</c:v>
                </c:pt>
                <c:pt idx="320">
                  <c:v>-0.25763888888888886</c:v>
                </c:pt>
                <c:pt idx="321">
                  <c:v>-0.25761509172724123</c:v>
                </c:pt>
                <c:pt idx="322">
                  <c:v>-0.25759144237405102</c:v>
                </c:pt>
                <c:pt idx="323">
                  <c:v>-0.25756793945648432</c:v>
                </c:pt>
                <c:pt idx="324">
                  <c:v>-0.25754458161865562</c:v>
                </c:pt>
                <c:pt idx="325">
                  <c:v>-0.25752136752136745</c:v>
                </c:pt>
                <c:pt idx="326">
                  <c:v>-0.25749829584185407</c:v>
                </c:pt>
                <c:pt idx="327">
                  <c:v>-0.25747536527353038</c:v>
                </c:pt>
                <c:pt idx="328">
                  <c:v>-0.25745257452574521</c:v>
                </c:pt>
                <c:pt idx="329">
                  <c:v>-0.25742992232353928</c:v>
                </c:pt>
                <c:pt idx="330">
                  <c:v>-0.25740740740740736</c:v>
                </c:pt>
                <c:pt idx="331">
                  <c:v>-0.25738502853306472</c:v>
                </c:pt>
                <c:pt idx="332">
                  <c:v>-0.25736278447121813</c:v>
                </c:pt>
                <c:pt idx="333">
                  <c:v>-0.25734067400734062</c:v>
                </c:pt>
                <c:pt idx="334">
                  <c:v>-0.2573186959414504</c:v>
                </c:pt>
                <c:pt idx="335">
                  <c:v>-0.2572968490878938</c:v>
                </c:pt>
                <c:pt idx="336">
                  <c:v>-0.25727513227513221</c:v>
                </c:pt>
                <c:pt idx="337">
                  <c:v>-0.25725354434553244</c:v>
                </c:pt>
                <c:pt idx="338">
                  <c:v>-0.25723208415516102</c:v>
                </c:pt>
                <c:pt idx="339">
                  <c:v>-0.25721075057358239</c:v>
                </c:pt>
                <c:pt idx="340">
                  <c:v>-0.25718954248366011</c:v>
                </c:pt>
                <c:pt idx="341">
                  <c:v>-0.25716845878136196</c:v>
                </c:pt>
                <c:pt idx="342">
                  <c:v>-0.2571474983755685</c:v>
                </c:pt>
                <c:pt idx="343">
                  <c:v>-0.2571266601878846</c:v>
                </c:pt>
                <c:pt idx="344">
                  <c:v>-0.25710594315245472</c:v>
                </c:pt>
                <c:pt idx="345">
                  <c:v>-0.25708534621578094</c:v>
                </c:pt>
                <c:pt idx="346">
                  <c:v>-0.25706486833654457</c:v>
                </c:pt>
                <c:pt idx="347">
                  <c:v>-0.25704450848543065</c:v>
                </c:pt>
                <c:pt idx="348">
                  <c:v>-0.25702426564495523</c:v>
                </c:pt>
                <c:pt idx="349">
                  <c:v>-0.25700413880929635</c:v>
                </c:pt>
                <c:pt idx="350">
                  <c:v>-0.25698412698412693</c:v>
                </c:pt>
                <c:pt idx="351">
                  <c:v>-0.25696422918645134</c:v>
                </c:pt>
                <c:pt idx="352">
                  <c:v>-0.25694444444444442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944-489B-9F36-F6B60E300B11}"/>
            </c:ext>
          </c:extLst>
        </c:ser>
        <c:ser>
          <c:idx val="8"/>
          <c:order val="19"/>
          <c:tx>
            <c:v>Specs</c:v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'Coriolis Manufact Error'!$B$6:$B$358</c:f>
              <c:numCache>
                <c:formatCode>General</c:formatCode>
                <c:ptCount val="353"/>
                <c:pt idx="0">
                  <c:v>0.05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7.3999999999999995</c:v>
                </c:pt>
                <c:pt idx="149">
                  <c:v>7.4499999999999993</c:v>
                </c:pt>
                <c:pt idx="150">
                  <c:v>7.4999999999999991</c:v>
                </c:pt>
                <c:pt idx="151">
                  <c:v>7.5499999999999989</c:v>
                </c:pt>
                <c:pt idx="152">
                  <c:v>7.5999999999999988</c:v>
                </c:pt>
                <c:pt idx="153">
                  <c:v>7.6499999999999986</c:v>
                </c:pt>
                <c:pt idx="154">
                  <c:v>7.6999999999999984</c:v>
                </c:pt>
                <c:pt idx="155">
                  <c:v>7.7499999999999982</c:v>
                </c:pt>
                <c:pt idx="156">
                  <c:v>7.799999999999998</c:v>
                </c:pt>
                <c:pt idx="157">
                  <c:v>7.8499999999999979</c:v>
                </c:pt>
                <c:pt idx="158">
                  <c:v>7.8999999999999977</c:v>
                </c:pt>
                <c:pt idx="159">
                  <c:v>7.9499999999999975</c:v>
                </c:pt>
                <c:pt idx="160">
                  <c:v>7.9999999999999973</c:v>
                </c:pt>
                <c:pt idx="161">
                  <c:v>8.0499999999999972</c:v>
                </c:pt>
                <c:pt idx="162">
                  <c:v>8.0999999999999979</c:v>
                </c:pt>
                <c:pt idx="163">
                  <c:v>8.1499999999999986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8.3500000000000014</c:v>
                </c:pt>
                <c:pt idx="168">
                  <c:v>8.4000000000000021</c:v>
                </c:pt>
                <c:pt idx="169">
                  <c:v>8.4500000000000028</c:v>
                </c:pt>
                <c:pt idx="170">
                  <c:v>8.5000000000000036</c:v>
                </c:pt>
                <c:pt idx="171">
                  <c:v>8.5500000000000043</c:v>
                </c:pt>
                <c:pt idx="172">
                  <c:v>8.600000000000005</c:v>
                </c:pt>
                <c:pt idx="173">
                  <c:v>8.6500000000000057</c:v>
                </c:pt>
                <c:pt idx="174">
                  <c:v>8.7000000000000064</c:v>
                </c:pt>
                <c:pt idx="175">
                  <c:v>8.7500000000000071</c:v>
                </c:pt>
                <c:pt idx="176">
                  <c:v>8.8000000000000078</c:v>
                </c:pt>
                <c:pt idx="177">
                  <c:v>8.8500000000000085</c:v>
                </c:pt>
                <c:pt idx="178">
                  <c:v>8.9000000000000092</c:v>
                </c:pt>
                <c:pt idx="179">
                  <c:v>8.9500000000000099</c:v>
                </c:pt>
                <c:pt idx="180">
                  <c:v>9.0000000000000107</c:v>
                </c:pt>
                <c:pt idx="181">
                  <c:v>9.0500000000000114</c:v>
                </c:pt>
                <c:pt idx="182">
                  <c:v>9.1000000000000121</c:v>
                </c:pt>
                <c:pt idx="183">
                  <c:v>9.1500000000000128</c:v>
                </c:pt>
                <c:pt idx="184">
                  <c:v>9.2000000000000135</c:v>
                </c:pt>
                <c:pt idx="185">
                  <c:v>9.2500000000000142</c:v>
                </c:pt>
                <c:pt idx="186">
                  <c:v>9.3000000000000149</c:v>
                </c:pt>
                <c:pt idx="187">
                  <c:v>9.3500000000000156</c:v>
                </c:pt>
                <c:pt idx="188">
                  <c:v>9.4000000000000163</c:v>
                </c:pt>
                <c:pt idx="189">
                  <c:v>9.4500000000000171</c:v>
                </c:pt>
                <c:pt idx="190">
                  <c:v>9.5000000000000178</c:v>
                </c:pt>
                <c:pt idx="191">
                  <c:v>9.5500000000000185</c:v>
                </c:pt>
                <c:pt idx="192">
                  <c:v>9.6000000000000192</c:v>
                </c:pt>
                <c:pt idx="193">
                  <c:v>9.6500000000000199</c:v>
                </c:pt>
                <c:pt idx="194">
                  <c:v>9.7000000000000206</c:v>
                </c:pt>
                <c:pt idx="195">
                  <c:v>9.7500000000000213</c:v>
                </c:pt>
                <c:pt idx="196">
                  <c:v>9.800000000000022</c:v>
                </c:pt>
                <c:pt idx="197">
                  <c:v>9.8500000000000227</c:v>
                </c:pt>
                <c:pt idx="198">
                  <c:v>9.9000000000000234</c:v>
                </c:pt>
                <c:pt idx="199">
                  <c:v>9.9500000000000242</c:v>
                </c:pt>
                <c:pt idx="200">
                  <c:v>10.000000000000025</c:v>
                </c:pt>
                <c:pt idx="201">
                  <c:v>10.050000000000026</c:v>
                </c:pt>
                <c:pt idx="202">
                  <c:v>10.100000000000026</c:v>
                </c:pt>
                <c:pt idx="203">
                  <c:v>10.150000000000027</c:v>
                </c:pt>
                <c:pt idx="204">
                  <c:v>10.200000000000028</c:v>
                </c:pt>
                <c:pt idx="205">
                  <c:v>10.250000000000028</c:v>
                </c:pt>
                <c:pt idx="206">
                  <c:v>10.300000000000029</c:v>
                </c:pt>
                <c:pt idx="207">
                  <c:v>10.35000000000003</c:v>
                </c:pt>
                <c:pt idx="208">
                  <c:v>10.400000000000031</c:v>
                </c:pt>
                <c:pt idx="209">
                  <c:v>10.450000000000031</c:v>
                </c:pt>
                <c:pt idx="210">
                  <c:v>10.500000000000032</c:v>
                </c:pt>
                <c:pt idx="211">
                  <c:v>10.550000000000033</c:v>
                </c:pt>
                <c:pt idx="212">
                  <c:v>10.600000000000033</c:v>
                </c:pt>
                <c:pt idx="213">
                  <c:v>10.650000000000034</c:v>
                </c:pt>
                <c:pt idx="214">
                  <c:v>10.700000000000035</c:v>
                </c:pt>
                <c:pt idx="215">
                  <c:v>10.750000000000036</c:v>
                </c:pt>
                <c:pt idx="216">
                  <c:v>10.800000000000036</c:v>
                </c:pt>
                <c:pt idx="217">
                  <c:v>10.850000000000037</c:v>
                </c:pt>
                <c:pt idx="218">
                  <c:v>10.900000000000038</c:v>
                </c:pt>
                <c:pt idx="219">
                  <c:v>10.950000000000038</c:v>
                </c:pt>
                <c:pt idx="220">
                  <c:v>11.000000000000039</c:v>
                </c:pt>
                <c:pt idx="221">
                  <c:v>11.05000000000004</c:v>
                </c:pt>
                <c:pt idx="222">
                  <c:v>11.100000000000041</c:v>
                </c:pt>
                <c:pt idx="223">
                  <c:v>11.150000000000041</c:v>
                </c:pt>
                <c:pt idx="224">
                  <c:v>11.200000000000042</c:v>
                </c:pt>
                <c:pt idx="225">
                  <c:v>11.250000000000043</c:v>
                </c:pt>
                <c:pt idx="226">
                  <c:v>11.300000000000043</c:v>
                </c:pt>
                <c:pt idx="227">
                  <c:v>11.350000000000044</c:v>
                </c:pt>
                <c:pt idx="228">
                  <c:v>11.400000000000045</c:v>
                </c:pt>
                <c:pt idx="229">
                  <c:v>11.450000000000045</c:v>
                </c:pt>
                <c:pt idx="230">
                  <c:v>11.500000000000046</c:v>
                </c:pt>
                <c:pt idx="231">
                  <c:v>11.550000000000047</c:v>
                </c:pt>
                <c:pt idx="232">
                  <c:v>11.600000000000048</c:v>
                </c:pt>
                <c:pt idx="233">
                  <c:v>11.650000000000048</c:v>
                </c:pt>
                <c:pt idx="234">
                  <c:v>11.700000000000049</c:v>
                </c:pt>
                <c:pt idx="235">
                  <c:v>11.75000000000005</c:v>
                </c:pt>
                <c:pt idx="236">
                  <c:v>11.80000000000005</c:v>
                </c:pt>
                <c:pt idx="237">
                  <c:v>11.850000000000051</c:v>
                </c:pt>
                <c:pt idx="238">
                  <c:v>11.900000000000052</c:v>
                </c:pt>
                <c:pt idx="239">
                  <c:v>11.950000000000053</c:v>
                </c:pt>
                <c:pt idx="240">
                  <c:v>12.000000000000053</c:v>
                </c:pt>
                <c:pt idx="241">
                  <c:v>12.050000000000054</c:v>
                </c:pt>
                <c:pt idx="242">
                  <c:v>12.100000000000055</c:v>
                </c:pt>
                <c:pt idx="243">
                  <c:v>12.150000000000055</c:v>
                </c:pt>
                <c:pt idx="244">
                  <c:v>12.200000000000056</c:v>
                </c:pt>
                <c:pt idx="245">
                  <c:v>12.250000000000057</c:v>
                </c:pt>
                <c:pt idx="246">
                  <c:v>12.300000000000058</c:v>
                </c:pt>
                <c:pt idx="247">
                  <c:v>12.350000000000058</c:v>
                </c:pt>
                <c:pt idx="248">
                  <c:v>12.400000000000059</c:v>
                </c:pt>
                <c:pt idx="249">
                  <c:v>12.45000000000006</c:v>
                </c:pt>
                <c:pt idx="250">
                  <c:v>12.50000000000006</c:v>
                </c:pt>
                <c:pt idx="251">
                  <c:v>12.550000000000061</c:v>
                </c:pt>
                <c:pt idx="252">
                  <c:v>12.600000000000062</c:v>
                </c:pt>
                <c:pt idx="253">
                  <c:v>12.650000000000063</c:v>
                </c:pt>
                <c:pt idx="254">
                  <c:v>12.700000000000063</c:v>
                </c:pt>
                <c:pt idx="255">
                  <c:v>12.750000000000064</c:v>
                </c:pt>
                <c:pt idx="256">
                  <c:v>12.800000000000065</c:v>
                </c:pt>
                <c:pt idx="257">
                  <c:v>12.850000000000065</c:v>
                </c:pt>
                <c:pt idx="258">
                  <c:v>12.900000000000066</c:v>
                </c:pt>
                <c:pt idx="259">
                  <c:v>12.950000000000067</c:v>
                </c:pt>
                <c:pt idx="260">
                  <c:v>13.000000000000068</c:v>
                </c:pt>
                <c:pt idx="261">
                  <c:v>13.050000000000068</c:v>
                </c:pt>
                <c:pt idx="262">
                  <c:v>13.100000000000069</c:v>
                </c:pt>
                <c:pt idx="263">
                  <c:v>13.15000000000007</c:v>
                </c:pt>
                <c:pt idx="264">
                  <c:v>13.20000000000007</c:v>
                </c:pt>
                <c:pt idx="265">
                  <c:v>13.250000000000071</c:v>
                </c:pt>
                <c:pt idx="266">
                  <c:v>13.300000000000072</c:v>
                </c:pt>
                <c:pt idx="267">
                  <c:v>13.350000000000072</c:v>
                </c:pt>
                <c:pt idx="268">
                  <c:v>13.400000000000073</c:v>
                </c:pt>
                <c:pt idx="269">
                  <c:v>13.450000000000074</c:v>
                </c:pt>
                <c:pt idx="270">
                  <c:v>13.500000000000075</c:v>
                </c:pt>
                <c:pt idx="271">
                  <c:v>13.550000000000075</c:v>
                </c:pt>
                <c:pt idx="272">
                  <c:v>13.600000000000076</c:v>
                </c:pt>
                <c:pt idx="273">
                  <c:v>13.650000000000077</c:v>
                </c:pt>
                <c:pt idx="274">
                  <c:v>13.700000000000077</c:v>
                </c:pt>
                <c:pt idx="275">
                  <c:v>13.750000000000078</c:v>
                </c:pt>
                <c:pt idx="276">
                  <c:v>13.800000000000079</c:v>
                </c:pt>
                <c:pt idx="277">
                  <c:v>13.85000000000008</c:v>
                </c:pt>
                <c:pt idx="278">
                  <c:v>13.90000000000008</c:v>
                </c:pt>
                <c:pt idx="279">
                  <c:v>13.950000000000081</c:v>
                </c:pt>
                <c:pt idx="280">
                  <c:v>14.000000000000082</c:v>
                </c:pt>
                <c:pt idx="281">
                  <c:v>14.050000000000082</c:v>
                </c:pt>
                <c:pt idx="282">
                  <c:v>14.100000000000083</c:v>
                </c:pt>
                <c:pt idx="283">
                  <c:v>14.150000000000084</c:v>
                </c:pt>
                <c:pt idx="284">
                  <c:v>14.200000000000085</c:v>
                </c:pt>
                <c:pt idx="285">
                  <c:v>14.250000000000085</c:v>
                </c:pt>
                <c:pt idx="286">
                  <c:v>14.300000000000086</c:v>
                </c:pt>
                <c:pt idx="287">
                  <c:v>14.350000000000087</c:v>
                </c:pt>
                <c:pt idx="288">
                  <c:v>14.400000000000087</c:v>
                </c:pt>
                <c:pt idx="289">
                  <c:v>14.450000000000088</c:v>
                </c:pt>
                <c:pt idx="290">
                  <c:v>14.500000000000089</c:v>
                </c:pt>
                <c:pt idx="291">
                  <c:v>14.55000000000009</c:v>
                </c:pt>
                <c:pt idx="292">
                  <c:v>14.60000000000009</c:v>
                </c:pt>
                <c:pt idx="293">
                  <c:v>14.650000000000091</c:v>
                </c:pt>
                <c:pt idx="294">
                  <c:v>14.700000000000092</c:v>
                </c:pt>
                <c:pt idx="295">
                  <c:v>14.750000000000092</c:v>
                </c:pt>
                <c:pt idx="296">
                  <c:v>14.800000000000093</c:v>
                </c:pt>
                <c:pt idx="297">
                  <c:v>14.850000000000094</c:v>
                </c:pt>
                <c:pt idx="298">
                  <c:v>14.900000000000095</c:v>
                </c:pt>
                <c:pt idx="299">
                  <c:v>14.950000000000095</c:v>
                </c:pt>
                <c:pt idx="300">
                  <c:v>15.000000000000096</c:v>
                </c:pt>
                <c:pt idx="301">
                  <c:v>15.050000000000097</c:v>
                </c:pt>
                <c:pt idx="302">
                  <c:v>15.100000000000097</c:v>
                </c:pt>
                <c:pt idx="303">
                  <c:v>15.150000000000098</c:v>
                </c:pt>
                <c:pt idx="304">
                  <c:v>15.200000000000099</c:v>
                </c:pt>
                <c:pt idx="305">
                  <c:v>15.250000000000099</c:v>
                </c:pt>
                <c:pt idx="306">
                  <c:v>15.3000000000001</c:v>
                </c:pt>
                <c:pt idx="307">
                  <c:v>15.350000000000101</c:v>
                </c:pt>
                <c:pt idx="308">
                  <c:v>15.400000000000102</c:v>
                </c:pt>
                <c:pt idx="309">
                  <c:v>15.450000000000102</c:v>
                </c:pt>
                <c:pt idx="310">
                  <c:v>15.500000000000103</c:v>
                </c:pt>
                <c:pt idx="311">
                  <c:v>15.550000000000104</c:v>
                </c:pt>
                <c:pt idx="312">
                  <c:v>15.600000000000104</c:v>
                </c:pt>
                <c:pt idx="313">
                  <c:v>15.650000000000105</c:v>
                </c:pt>
                <c:pt idx="314">
                  <c:v>15.700000000000106</c:v>
                </c:pt>
                <c:pt idx="315">
                  <c:v>15.750000000000107</c:v>
                </c:pt>
                <c:pt idx="316">
                  <c:v>15.800000000000107</c:v>
                </c:pt>
                <c:pt idx="317">
                  <c:v>15.850000000000108</c:v>
                </c:pt>
                <c:pt idx="318">
                  <c:v>15.900000000000109</c:v>
                </c:pt>
                <c:pt idx="319">
                  <c:v>15.950000000000109</c:v>
                </c:pt>
                <c:pt idx="320">
                  <c:v>16.00000000000011</c:v>
                </c:pt>
                <c:pt idx="321">
                  <c:v>16.050000000000111</c:v>
                </c:pt>
                <c:pt idx="322">
                  <c:v>16.100000000000112</c:v>
                </c:pt>
                <c:pt idx="323">
                  <c:v>16.150000000000112</c:v>
                </c:pt>
                <c:pt idx="324">
                  <c:v>16.200000000000113</c:v>
                </c:pt>
                <c:pt idx="325">
                  <c:v>16.250000000000114</c:v>
                </c:pt>
                <c:pt idx="326">
                  <c:v>16.300000000000114</c:v>
                </c:pt>
                <c:pt idx="327">
                  <c:v>16.350000000000115</c:v>
                </c:pt>
                <c:pt idx="328">
                  <c:v>16.400000000000116</c:v>
                </c:pt>
                <c:pt idx="329">
                  <c:v>16.450000000000117</c:v>
                </c:pt>
                <c:pt idx="330">
                  <c:v>16.500000000000117</c:v>
                </c:pt>
                <c:pt idx="331">
                  <c:v>16.550000000000118</c:v>
                </c:pt>
                <c:pt idx="332">
                  <c:v>16.600000000000119</c:v>
                </c:pt>
                <c:pt idx="333">
                  <c:v>16.650000000000119</c:v>
                </c:pt>
                <c:pt idx="334">
                  <c:v>16.70000000000012</c:v>
                </c:pt>
                <c:pt idx="335">
                  <c:v>16.750000000000121</c:v>
                </c:pt>
                <c:pt idx="336">
                  <c:v>16.800000000000122</c:v>
                </c:pt>
                <c:pt idx="337">
                  <c:v>16.850000000000122</c:v>
                </c:pt>
                <c:pt idx="338">
                  <c:v>16.900000000000123</c:v>
                </c:pt>
                <c:pt idx="339">
                  <c:v>16.950000000000124</c:v>
                </c:pt>
                <c:pt idx="340">
                  <c:v>17.000000000000124</c:v>
                </c:pt>
                <c:pt idx="341">
                  <c:v>17.050000000000125</c:v>
                </c:pt>
                <c:pt idx="342">
                  <c:v>17.100000000000126</c:v>
                </c:pt>
                <c:pt idx="343">
                  <c:v>17.150000000000126</c:v>
                </c:pt>
                <c:pt idx="344">
                  <c:v>17.200000000000127</c:v>
                </c:pt>
                <c:pt idx="345">
                  <c:v>17.250000000000128</c:v>
                </c:pt>
                <c:pt idx="346">
                  <c:v>17.300000000000129</c:v>
                </c:pt>
                <c:pt idx="347">
                  <c:v>17.350000000000129</c:v>
                </c:pt>
                <c:pt idx="348">
                  <c:v>17.40000000000013</c:v>
                </c:pt>
                <c:pt idx="349">
                  <c:v>17.450000000000131</c:v>
                </c:pt>
                <c:pt idx="350">
                  <c:v>17.500000000000131</c:v>
                </c:pt>
                <c:pt idx="351">
                  <c:v>17.550000000000132</c:v>
                </c:pt>
                <c:pt idx="352">
                  <c:v>17.600000000000133</c:v>
                </c:pt>
              </c:numCache>
            </c:numRef>
          </c:xVal>
          <c:yVal>
            <c:numRef>
              <c:f>'Coriolis Manufact Error'!$E$6:$E$358</c:f>
              <c:numCache>
                <c:formatCode>0.000</c:formatCode>
                <c:ptCount val="353"/>
                <c:pt idx="0">
                  <c:v>2.6944444444444446</c:v>
                </c:pt>
                <c:pt idx="1">
                  <c:v>1.996031746031746</c:v>
                </c:pt>
                <c:pt idx="2">
                  <c:v>1.4722222222222223</c:v>
                </c:pt>
                <c:pt idx="3">
                  <c:v>1.0648148148148149</c:v>
                </c:pt>
                <c:pt idx="4">
                  <c:v>0.86111111111111116</c:v>
                </c:pt>
                <c:pt idx="5">
                  <c:v>0.73888888888888893</c:v>
                </c:pt>
                <c:pt idx="6">
                  <c:v>0.65740740740740744</c:v>
                </c:pt>
                <c:pt idx="7">
                  <c:v>0.5992063492063493</c:v>
                </c:pt>
                <c:pt idx="8">
                  <c:v>0.55555555555555558</c:v>
                </c:pt>
                <c:pt idx="9">
                  <c:v>0.52160493827160503</c:v>
                </c:pt>
                <c:pt idx="10">
                  <c:v>0.49444444444444446</c:v>
                </c:pt>
                <c:pt idx="11">
                  <c:v>0.47222222222222221</c:v>
                </c:pt>
                <c:pt idx="12">
                  <c:v>0.45370370370370372</c:v>
                </c:pt>
                <c:pt idx="13">
                  <c:v>0.43803418803418803</c:v>
                </c:pt>
                <c:pt idx="14">
                  <c:v>0.42460317460317465</c:v>
                </c:pt>
                <c:pt idx="15">
                  <c:v>0.41296296296296298</c:v>
                </c:pt>
                <c:pt idx="16">
                  <c:v>0.40277777777777779</c:v>
                </c:pt>
                <c:pt idx="17">
                  <c:v>0.39379084967320266</c:v>
                </c:pt>
                <c:pt idx="18">
                  <c:v>0.38580246913580252</c:v>
                </c:pt>
                <c:pt idx="19">
                  <c:v>0.37865497076023391</c:v>
                </c:pt>
                <c:pt idx="20">
                  <c:v>0.37222222222222223</c:v>
                </c:pt>
                <c:pt idx="21">
                  <c:v>0.3664021164021164</c:v>
                </c:pt>
                <c:pt idx="22">
                  <c:v>0.3611111111111111</c:v>
                </c:pt>
                <c:pt idx="23">
                  <c:v>0.356280193236715</c:v>
                </c:pt>
                <c:pt idx="24">
                  <c:v>0.35185185185185186</c:v>
                </c:pt>
                <c:pt idx="25">
                  <c:v>0.3477777777777778</c:v>
                </c:pt>
                <c:pt idx="26">
                  <c:v>0.34401709401709402</c:v>
                </c:pt>
                <c:pt idx="27">
                  <c:v>0.34053497942386834</c:v>
                </c:pt>
                <c:pt idx="28">
                  <c:v>0.33730158730158732</c:v>
                </c:pt>
                <c:pt idx="29">
                  <c:v>0.33429118773946365</c:v>
                </c:pt>
                <c:pt idx="30">
                  <c:v>0.33148148148148149</c:v>
                </c:pt>
                <c:pt idx="31">
                  <c:v>0.3288530465949821</c:v>
                </c:pt>
                <c:pt idx="32">
                  <c:v>0.3263888888888889</c:v>
                </c:pt>
                <c:pt idx="33">
                  <c:v>0.32407407407407407</c:v>
                </c:pt>
                <c:pt idx="34">
                  <c:v>0.32189542483660133</c:v>
                </c:pt>
                <c:pt idx="35">
                  <c:v>0.31984126984126982</c:v>
                </c:pt>
                <c:pt idx="36">
                  <c:v>0.31790123456790126</c:v>
                </c:pt>
                <c:pt idx="37">
                  <c:v>0.31606606606606608</c:v>
                </c:pt>
                <c:pt idx="38">
                  <c:v>0.31432748538011696</c:v>
                </c:pt>
                <c:pt idx="39">
                  <c:v>0.3126780626780627</c:v>
                </c:pt>
                <c:pt idx="40">
                  <c:v>0.31111111111111112</c:v>
                </c:pt>
                <c:pt idx="41">
                  <c:v>0.30962059620596205</c:v>
                </c:pt>
                <c:pt idx="42">
                  <c:v>0.3082010582010582</c:v>
                </c:pt>
                <c:pt idx="43">
                  <c:v>0.30684754521963825</c:v>
                </c:pt>
                <c:pt idx="44">
                  <c:v>0.30555555555555558</c:v>
                </c:pt>
                <c:pt idx="45">
                  <c:v>0.30432098765432103</c:v>
                </c:pt>
                <c:pt idx="46">
                  <c:v>0.3031400966183575</c:v>
                </c:pt>
                <c:pt idx="47">
                  <c:v>0.30200945626477543</c:v>
                </c:pt>
                <c:pt idx="48">
                  <c:v>0.30092592592592593</c:v>
                </c:pt>
                <c:pt idx="49">
                  <c:v>0.29988662131519273</c:v>
                </c:pt>
                <c:pt idx="50">
                  <c:v>0.29888888888888887</c:v>
                </c:pt>
                <c:pt idx="51">
                  <c:v>0.2979302832244009</c:v>
                </c:pt>
                <c:pt idx="52">
                  <c:v>0.29700854700854701</c:v>
                </c:pt>
                <c:pt idx="53">
                  <c:v>0.29612159329140464</c:v>
                </c:pt>
                <c:pt idx="54">
                  <c:v>0.29526748971193417</c:v>
                </c:pt>
                <c:pt idx="55">
                  <c:v>0.29444444444444445</c:v>
                </c:pt>
                <c:pt idx="56">
                  <c:v>0.29365079365079366</c:v>
                </c:pt>
                <c:pt idx="57">
                  <c:v>0.2928849902534113</c:v>
                </c:pt>
                <c:pt idx="58">
                  <c:v>0.29214559386973182</c:v>
                </c:pt>
                <c:pt idx="59">
                  <c:v>0.29143126177024481</c:v>
                </c:pt>
                <c:pt idx="60">
                  <c:v>0.29074074074074074</c:v>
                </c:pt>
                <c:pt idx="61">
                  <c:v>0.29007285974499092</c:v>
                </c:pt>
                <c:pt idx="62">
                  <c:v>0.28942652329749102</c:v>
                </c:pt>
                <c:pt idx="63">
                  <c:v>0.28880070546737213</c:v>
                </c:pt>
                <c:pt idx="64">
                  <c:v>0.28819444444444442</c:v>
                </c:pt>
                <c:pt idx="65">
                  <c:v>0.28760683760683758</c:v>
                </c:pt>
                <c:pt idx="66">
                  <c:v>0.28703703703703703</c:v>
                </c:pt>
                <c:pt idx="67">
                  <c:v>0.28648424543946932</c:v>
                </c:pt>
                <c:pt idx="68">
                  <c:v>0.28594771241830064</c:v>
                </c:pt>
                <c:pt idx="69">
                  <c:v>0.28542673107890498</c:v>
                </c:pt>
                <c:pt idx="70">
                  <c:v>0.28492063492063491</c:v>
                </c:pt>
                <c:pt idx="71">
                  <c:v>0.28442879499217527</c:v>
                </c:pt>
                <c:pt idx="72">
                  <c:v>0.2839506172839506</c:v>
                </c:pt>
                <c:pt idx="73">
                  <c:v>0.2834855403348554</c:v>
                </c:pt>
                <c:pt idx="74">
                  <c:v>0.28303303303303307</c:v>
                </c:pt>
                <c:pt idx="75">
                  <c:v>0.28259259259259262</c:v>
                </c:pt>
                <c:pt idx="76">
                  <c:v>0.28216374269005851</c:v>
                </c:pt>
                <c:pt idx="77">
                  <c:v>0.28174603174603174</c:v>
                </c:pt>
                <c:pt idx="78">
                  <c:v>0.28133903133903138</c:v>
                </c:pt>
                <c:pt idx="79">
                  <c:v>0.28094233473980312</c:v>
                </c:pt>
                <c:pt idx="80">
                  <c:v>0.28055555555555556</c:v>
                </c:pt>
                <c:pt idx="81">
                  <c:v>0.28017832647462276</c:v>
                </c:pt>
                <c:pt idx="82">
                  <c:v>0.27981029810298103</c:v>
                </c:pt>
                <c:pt idx="83">
                  <c:v>0.2794511378848728</c:v>
                </c:pt>
                <c:pt idx="84">
                  <c:v>0.27910052910052913</c:v>
                </c:pt>
                <c:pt idx="85">
                  <c:v>0.27875816993464053</c:v>
                </c:pt>
                <c:pt idx="86">
                  <c:v>0.27842377260981915</c:v>
                </c:pt>
                <c:pt idx="87">
                  <c:v>0.2780970625798212</c:v>
                </c:pt>
                <c:pt idx="88">
                  <c:v>0.27777777777777779</c:v>
                </c:pt>
                <c:pt idx="89">
                  <c:v>0.27746566791510613</c:v>
                </c:pt>
                <c:pt idx="90">
                  <c:v>0.27716049382716051</c:v>
                </c:pt>
                <c:pt idx="91">
                  <c:v>0.27686202686202688</c:v>
                </c:pt>
                <c:pt idx="92">
                  <c:v>0.27657004830917875</c:v>
                </c:pt>
                <c:pt idx="93">
                  <c:v>0.27628434886499403</c:v>
                </c:pt>
                <c:pt idx="94">
                  <c:v>0.27600472813238769</c:v>
                </c:pt>
                <c:pt idx="95">
                  <c:v>0.27573099415204677</c:v>
                </c:pt>
                <c:pt idx="96">
                  <c:v>0.27546296296296297</c:v>
                </c:pt>
                <c:pt idx="97">
                  <c:v>0.27520045819014893</c:v>
                </c:pt>
                <c:pt idx="98">
                  <c:v>0.27494331065759636</c:v>
                </c:pt>
                <c:pt idx="99">
                  <c:v>0.27469135802469136</c:v>
                </c:pt>
                <c:pt idx="100">
                  <c:v>0.27444444444444444</c:v>
                </c:pt>
                <c:pt idx="101">
                  <c:v>0.27420242024202424</c:v>
                </c:pt>
                <c:pt idx="102">
                  <c:v>0.27396514161220042</c:v>
                </c:pt>
                <c:pt idx="103">
                  <c:v>0.27373247033441206</c:v>
                </c:pt>
                <c:pt idx="104">
                  <c:v>0.27350427350427353</c:v>
                </c:pt>
                <c:pt idx="105">
                  <c:v>0.27328042328042329</c:v>
                </c:pt>
                <c:pt idx="106">
                  <c:v>0.27306079664570232</c:v>
                </c:pt>
                <c:pt idx="107">
                  <c:v>0.2728452751817238</c:v>
                </c:pt>
                <c:pt idx="108">
                  <c:v>0.27263374485596709</c:v>
                </c:pt>
                <c:pt idx="109">
                  <c:v>0.27242609582059124</c:v>
                </c:pt>
                <c:pt idx="110">
                  <c:v>0.27222222222222225</c:v>
                </c:pt>
                <c:pt idx="111">
                  <c:v>0.27202202202202203</c:v>
                </c:pt>
                <c:pt idx="112">
                  <c:v>0.27182539682539686</c:v>
                </c:pt>
                <c:pt idx="113">
                  <c:v>0.27163225172074729</c:v>
                </c:pt>
                <c:pt idx="114">
                  <c:v>0.27144249512670565</c:v>
                </c:pt>
                <c:pt idx="115">
                  <c:v>0.27125603864734299</c:v>
                </c:pt>
                <c:pt idx="116">
                  <c:v>0.27107279693486591</c:v>
                </c:pt>
                <c:pt idx="117">
                  <c:v>0.27089268755935425</c:v>
                </c:pt>
                <c:pt idx="118">
                  <c:v>0.2707156308851224</c:v>
                </c:pt>
                <c:pt idx="119">
                  <c:v>0.27054154995331464</c:v>
                </c:pt>
                <c:pt idx="120">
                  <c:v>0.27037037037037037</c:v>
                </c:pt>
                <c:pt idx="121">
                  <c:v>0.27020202020202022</c:v>
                </c:pt>
                <c:pt idx="122">
                  <c:v>0.27003642987249543</c:v>
                </c:pt>
                <c:pt idx="123">
                  <c:v>0.269873532068654</c:v>
                </c:pt>
                <c:pt idx="124">
                  <c:v>0.26971326164874554</c:v>
                </c:pt>
                <c:pt idx="125">
                  <c:v>0.26955555555555555</c:v>
                </c:pt>
                <c:pt idx="126">
                  <c:v>0.26940035273368607</c:v>
                </c:pt>
                <c:pt idx="127">
                  <c:v>0.26924759405074367</c:v>
                </c:pt>
                <c:pt idx="128">
                  <c:v>0.26909722222222221</c:v>
                </c:pt>
                <c:pt idx="129">
                  <c:v>0.26894918173987942</c:v>
                </c:pt>
                <c:pt idx="130">
                  <c:v>0.26880341880341879</c:v>
                </c:pt>
                <c:pt idx="131">
                  <c:v>0.2686598812553011</c:v>
                </c:pt>
                <c:pt idx="132">
                  <c:v>0.26851851851851855</c:v>
                </c:pt>
                <c:pt idx="133">
                  <c:v>0.26837928153717627</c:v>
                </c:pt>
                <c:pt idx="134">
                  <c:v>0.26824212271973469</c:v>
                </c:pt>
                <c:pt idx="135">
                  <c:v>0.26810699588477366</c:v>
                </c:pt>
                <c:pt idx="136">
                  <c:v>0.26797385620915032</c:v>
                </c:pt>
                <c:pt idx="137">
                  <c:v>0.26784266017842662</c:v>
                </c:pt>
                <c:pt idx="138">
                  <c:v>0.26771336553945252</c:v>
                </c:pt>
                <c:pt idx="139">
                  <c:v>0.26758593125499602</c:v>
                </c:pt>
                <c:pt idx="140">
                  <c:v>0.26746031746031745</c:v>
                </c:pt>
                <c:pt idx="141">
                  <c:v>0.26733648542159183</c:v>
                </c:pt>
                <c:pt idx="142">
                  <c:v>0.26721439749608766</c:v>
                </c:pt>
                <c:pt idx="143">
                  <c:v>0.26709401709401709</c:v>
                </c:pt>
                <c:pt idx="144">
                  <c:v>0.26697530864197533</c:v>
                </c:pt>
                <c:pt idx="145">
                  <c:v>0.26685823754789273</c:v>
                </c:pt>
                <c:pt idx="146">
                  <c:v>0.2667427701674277</c:v>
                </c:pt>
                <c:pt idx="147">
                  <c:v>0.26662887377173095</c:v>
                </c:pt>
                <c:pt idx="148">
                  <c:v>0.26651651651651653</c:v>
                </c:pt>
                <c:pt idx="149">
                  <c:v>0.26640566741237881</c:v>
                </c:pt>
                <c:pt idx="150">
                  <c:v>0.26629629629629631</c:v>
                </c:pt>
                <c:pt idx="151">
                  <c:v>0.26618837380426785</c:v>
                </c:pt>
                <c:pt idx="152">
                  <c:v>0.26608187134502925</c:v>
                </c:pt>
                <c:pt idx="153">
                  <c:v>0.26597676107480028</c:v>
                </c:pt>
                <c:pt idx="154">
                  <c:v>0.26587301587301587</c:v>
                </c:pt>
                <c:pt idx="155">
                  <c:v>0.26577060931899643</c:v>
                </c:pt>
                <c:pt idx="156">
                  <c:v>0.26566951566951569</c:v>
                </c:pt>
                <c:pt idx="157">
                  <c:v>0.26556970983722578</c:v>
                </c:pt>
                <c:pt idx="158">
                  <c:v>0.26547116736990156</c:v>
                </c:pt>
                <c:pt idx="159">
                  <c:v>0.26537386443046823</c:v>
                </c:pt>
                <c:pt idx="160">
                  <c:v>0.26527777777777778</c:v>
                </c:pt>
                <c:pt idx="161">
                  <c:v>0.26518288474810214</c:v>
                </c:pt>
                <c:pt idx="162">
                  <c:v>0.26508916323731141</c:v>
                </c:pt>
                <c:pt idx="163">
                  <c:v>0.26499659168370826</c:v>
                </c:pt>
                <c:pt idx="164">
                  <c:v>0.26490514905149054</c:v>
                </c:pt>
                <c:pt idx="165">
                  <c:v>0.26481481481481484</c:v>
                </c:pt>
                <c:pt idx="166">
                  <c:v>0.26472556894243643</c:v>
                </c:pt>
                <c:pt idx="167">
                  <c:v>0.26463739188290086</c:v>
                </c:pt>
                <c:pt idx="168">
                  <c:v>0.26455026455026454</c:v>
                </c:pt>
                <c:pt idx="169">
                  <c:v>0.26446416831032216</c:v>
                </c:pt>
                <c:pt idx="170">
                  <c:v>0.26437908496732027</c:v>
                </c:pt>
                <c:pt idx="171">
                  <c:v>0.2642949967511371</c:v>
                </c:pt>
                <c:pt idx="172">
                  <c:v>0.26421188630490955</c:v>
                </c:pt>
                <c:pt idx="173">
                  <c:v>0.26412973667308925</c:v>
                </c:pt>
                <c:pt idx="174">
                  <c:v>0.26404853128991057</c:v>
                </c:pt>
                <c:pt idx="175">
                  <c:v>0.26396825396825396</c:v>
                </c:pt>
                <c:pt idx="176">
                  <c:v>0.2638888888888889</c:v>
                </c:pt>
                <c:pt idx="177">
                  <c:v>0.26381042059008158</c:v>
                </c:pt>
                <c:pt idx="178">
                  <c:v>0.26373283395755304</c:v>
                </c:pt>
                <c:pt idx="179">
                  <c:v>0.26365611421477342</c:v>
                </c:pt>
                <c:pt idx="180">
                  <c:v>0.26358024691358023</c:v>
                </c:pt>
                <c:pt idx="181">
                  <c:v>0.26350521792510739</c:v>
                </c:pt>
                <c:pt idx="182">
                  <c:v>0.26343101343101344</c:v>
                </c:pt>
                <c:pt idx="183">
                  <c:v>0.26335761991499695</c:v>
                </c:pt>
                <c:pt idx="184">
                  <c:v>0.26328502415458938</c:v>
                </c:pt>
                <c:pt idx="185">
                  <c:v>0.26321321321321317</c:v>
                </c:pt>
                <c:pt idx="186">
                  <c:v>0.26314217443249699</c:v>
                </c:pt>
                <c:pt idx="187">
                  <c:v>0.26307189542483655</c:v>
                </c:pt>
                <c:pt idx="188">
                  <c:v>0.26300236406619382</c:v>
                </c:pt>
                <c:pt idx="189">
                  <c:v>0.26293356848912403</c:v>
                </c:pt>
                <c:pt idx="190">
                  <c:v>0.26286549707602336</c:v>
                </c:pt>
                <c:pt idx="191">
                  <c:v>0.2627981384525887</c:v>
                </c:pt>
                <c:pt idx="192">
                  <c:v>0.26273148148148145</c:v>
                </c:pt>
                <c:pt idx="193">
                  <c:v>0.26266551525618881</c:v>
                </c:pt>
                <c:pt idx="194">
                  <c:v>0.26260022909507441</c:v>
                </c:pt>
                <c:pt idx="195">
                  <c:v>0.26253561253561253</c:v>
                </c:pt>
                <c:pt idx="196">
                  <c:v>0.26247165532879818</c:v>
                </c:pt>
                <c:pt idx="197">
                  <c:v>0.2624083474337281</c:v>
                </c:pt>
                <c:pt idx="198">
                  <c:v>0.26234567901234568</c:v>
                </c:pt>
                <c:pt idx="199">
                  <c:v>0.26228364042434393</c:v>
                </c:pt>
                <c:pt idx="200">
                  <c:v>0.26222222222222219</c:v>
                </c:pt>
                <c:pt idx="201">
                  <c:v>0.26216141514648972</c:v>
                </c:pt>
                <c:pt idx="202">
                  <c:v>0.26210121012101206</c:v>
                </c:pt>
                <c:pt idx="203">
                  <c:v>0.26204159824849477</c:v>
                </c:pt>
                <c:pt idx="204">
                  <c:v>0.26198257080610021</c:v>
                </c:pt>
                <c:pt idx="205">
                  <c:v>0.26192411924119235</c:v>
                </c:pt>
                <c:pt idx="206">
                  <c:v>0.26186623516720603</c:v>
                </c:pt>
                <c:pt idx="207">
                  <c:v>0.26180891035963494</c:v>
                </c:pt>
                <c:pt idx="208">
                  <c:v>0.26175213675213671</c:v>
                </c:pt>
                <c:pt idx="209">
                  <c:v>0.26169590643274848</c:v>
                </c:pt>
                <c:pt idx="210">
                  <c:v>0.26164021164021162</c:v>
                </c:pt>
                <c:pt idx="211">
                  <c:v>0.26158504476040018</c:v>
                </c:pt>
                <c:pt idx="212">
                  <c:v>0.26153039832285113</c:v>
                </c:pt>
                <c:pt idx="213">
                  <c:v>0.26147626499739174</c:v>
                </c:pt>
                <c:pt idx="214">
                  <c:v>0.26142263759086187</c:v>
                </c:pt>
                <c:pt idx="215">
                  <c:v>0.26136950904392764</c:v>
                </c:pt>
                <c:pt idx="216">
                  <c:v>0.26131687242798352</c:v>
                </c:pt>
                <c:pt idx="217">
                  <c:v>0.26126472094214026</c:v>
                </c:pt>
                <c:pt idx="218">
                  <c:v>0.26121304791029559</c:v>
                </c:pt>
                <c:pt idx="219">
                  <c:v>0.26116184677828508</c:v>
                </c:pt>
                <c:pt idx="220">
                  <c:v>0.26111111111111107</c:v>
                </c:pt>
                <c:pt idx="221">
                  <c:v>0.26106083459024632</c:v>
                </c:pt>
                <c:pt idx="222">
                  <c:v>0.26101101101101098</c:v>
                </c:pt>
                <c:pt idx="223">
                  <c:v>0.26096163428001989</c:v>
                </c:pt>
                <c:pt idx="224">
                  <c:v>0.26091269841269837</c:v>
                </c:pt>
                <c:pt idx="225">
                  <c:v>0.26086419753086415</c:v>
                </c:pt>
                <c:pt idx="226">
                  <c:v>0.26081612586037362</c:v>
                </c:pt>
                <c:pt idx="227">
                  <c:v>0.26076847772883011</c:v>
                </c:pt>
                <c:pt idx="228">
                  <c:v>0.2607212475633528</c:v>
                </c:pt>
                <c:pt idx="229">
                  <c:v>0.26067442988840367</c:v>
                </c:pt>
                <c:pt idx="230">
                  <c:v>0.26062801932367147</c:v>
                </c:pt>
                <c:pt idx="231">
                  <c:v>0.26058201058201053</c:v>
                </c:pt>
                <c:pt idx="232">
                  <c:v>0.26053639846743293</c:v>
                </c:pt>
                <c:pt idx="233">
                  <c:v>0.26049117787315207</c:v>
                </c:pt>
                <c:pt idx="234">
                  <c:v>0.26044634377967707</c:v>
                </c:pt>
                <c:pt idx="235">
                  <c:v>0.26040189125295504</c:v>
                </c:pt>
                <c:pt idx="236">
                  <c:v>0.26035781544256115</c:v>
                </c:pt>
                <c:pt idx="237">
                  <c:v>0.26031411157993434</c:v>
                </c:pt>
                <c:pt idx="238">
                  <c:v>0.26027077497665729</c:v>
                </c:pt>
                <c:pt idx="239">
                  <c:v>0.26022780102278004</c:v>
                </c:pt>
                <c:pt idx="240">
                  <c:v>0.26018518518518513</c:v>
                </c:pt>
                <c:pt idx="241">
                  <c:v>0.26014292300599351</c:v>
                </c:pt>
                <c:pt idx="242">
                  <c:v>0.26010101010101006</c:v>
                </c:pt>
                <c:pt idx="243">
                  <c:v>0.26005944215820753</c:v>
                </c:pt>
                <c:pt idx="244">
                  <c:v>0.26001821493624766</c:v>
                </c:pt>
                <c:pt idx="245">
                  <c:v>0.25997732426303849</c:v>
                </c:pt>
                <c:pt idx="246">
                  <c:v>0.25993676603432697</c:v>
                </c:pt>
                <c:pt idx="247">
                  <c:v>0.25989653621232567</c:v>
                </c:pt>
                <c:pt idx="248">
                  <c:v>0.25985663082437271</c:v>
                </c:pt>
                <c:pt idx="249">
                  <c:v>0.25981704596162425</c:v>
                </c:pt>
                <c:pt idx="250">
                  <c:v>0.25977777777777772</c:v>
                </c:pt>
                <c:pt idx="251">
                  <c:v>0.25973882248782643</c:v>
                </c:pt>
                <c:pt idx="252">
                  <c:v>0.25970017636684301</c:v>
                </c:pt>
                <c:pt idx="253">
                  <c:v>0.2596618357487922</c:v>
                </c:pt>
                <c:pt idx="254">
                  <c:v>0.25962379702537181</c:v>
                </c:pt>
                <c:pt idx="255">
                  <c:v>0.2595860566448801</c:v>
                </c:pt>
                <c:pt idx="256">
                  <c:v>0.25954861111111105</c:v>
                </c:pt>
                <c:pt idx="257">
                  <c:v>0.25951145698227407</c:v>
                </c:pt>
                <c:pt idx="258">
                  <c:v>0.25947459086993968</c:v>
                </c:pt>
                <c:pt idx="259">
                  <c:v>0.25943800943800938</c:v>
                </c:pt>
                <c:pt idx="260">
                  <c:v>0.25940170940170937</c:v>
                </c:pt>
                <c:pt idx="261">
                  <c:v>0.25936568752660705</c:v>
                </c:pt>
                <c:pt idx="262">
                  <c:v>0.25932994062765052</c:v>
                </c:pt>
                <c:pt idx="263">
                  <c:v>0.25929446556822977</c:v>
                </c:pt>
                <c:pt idx="264">
                  <c:v>0.25925925925925919</c:v>
                </c:pt>
                <c:pt idx="265">
                  <c:v>0.25922431865828088</c:v>
                </c:pt>
                <c:pt idx="266">
                  <c:v>0.25918964076858808</c:v>
                </c:pt>
                <c:pt idx="267">
                  <c:v>0.25915522263836865</c:v>
                </c:pt>
                <c:pt idx="268">
                  <c:v>0.25912106135986729</c:v>
                </c:pt>
                <c:pt idx="269">
                  <c:v>0.25908715406856664</c:v>
                </c:pt>
                <c:pt idx="270">
                  <c:v>0.2590534979423868</c:v>
                </c:pt>
                <c:pt idx="271">
                  <c:v>0.25902009020090194</c:v>
                </c:pt>
                <c:pt idx="272">
                  <c:v>0.25898692810457513</c:v>
                </c:pt>
                <c:pt idx="273">
                  <c:v>0.25895400895400889</c:v>
                </c:pt>
                <c:pt idx="274">
                  <c:v>0.25892133008921325</c:v>
                </c:pt>
                <c:pt idx="275">
                  <c:v>0.25888888888888884</c:v>
                </c:pt>
                <c:pt idx="276">
                  <c:v>0.25885668276972618</c:v>
                </c:pt>
                <c:pt idx="277">
                  <c:v>0.25882470918571998</c:v>
                </c:pt>
                <c:pt idx="278">
                  <c:v>0.25879296562749793</c:v>
                </c:pt>
                <c:pt idx="279">
                  <c:v>0.25876144962166464</c:v>
                </c:pt>
                <c:pt idx="280">
                  <c:v>0.2587301587301587</c:v>
                </c:pt>
                <c:pt idx="281">
                  <c:v>0.25869909054962431</c:v>
                </c:pt>
                <c:pt idx="282">
                  <c:v>0.25866824271079586</c:v>
                </c:pt>
                <c:pt idx="283">
                  <c:v>0.2586376128778955</c:v>
                </c:pt>
                <c:pt idx="284">
                  <c:v>0.25860719874804378</c:v>
                </c:pt>
                <c:pt idx="285">
                  <c:v>0.25857699805068224</c:v>
                </c:pt>
                <c:pt idx="286">
                  <c:v>0.25854700854700852</c:v>
                </c:pt>
                <c:pt idx="287">
                  <c:v>0.25851722802942312</c:v>
                </c:pt>
                <c:pt idx="288">
                  <c:v>0.25848765432098758</c:v>
                </c:pt>
                <c:pt idx="289">
                  <c:v>0.25845828527489423</c:v>
                </c:pt>
                <c:pt idx="290">
                  <c:v>0.25842911877394631</c:v>
                </c:pt>
                <c:pt idx="291">
                  <c:v>0.25840015273004957</c:v>
                </c:pt>
                <c:pt idx="292">
                  <c:v>0.25837138508371382</c:v>
                </c:pt>
                <c:pt idx="293">
                  <c:v>0.25834281380356461</c:v>
                </c:pt>
                <c:pt idx="294">
                  <c:v>0.25831443688586542</c:v>
                </c:pt>
                <c:pt idx="295">
                  <c:v>0.2582862523540489</c:v>
                </c:pt>
                <c:pt idx="296">
                  <c:v>0.25825825825825821</c:v>
                </c:pt>
                <c:pt idx="297">
                  <c:v>0.25823045267489708</c:v>
                </c:pt>
                <c:pt idx="298">
                  <c:v>0.25820283370618935</c:v>
                </c:pt>
                <c:pt idx="299">
                  <c:v>0.25817539947974727</c:v>
                </c:pt>
                <c:pt idx="300">
                  <c:v>0.25814814814814807</c:v>
                </c:pt>
                <c:pt idx="301">
                  <c:v>0.25812107788851968</c:v>
                </c:pt>
                <c:pt idx="302">
                  <c:v>0.25809418690213387</c:v>
                </c:pt>
                <c:pt idx="303">
                  <c:v>0.25806747341400804</c:v>
                </c:pt>
                <c:pt idx="304">
                  <c:v>0.25804093567251457</c:v>
                </c:pt>
                <c:pt idx="305">
                  <c:v>0.25801457194899813</c:v>
                </c:pt>
                <c:pt idx="306">
                  <c:v>0.25798838053740009</c:v>
                </c:pt>
                <c:pt idx="307">
                  <c:v>0.25796235975389065</c:v>
                </c:pt>
                <c:pt idx="308">
                  <c:v>0.25793650793650791</c:v>
                </c:pt>
                <c:pt idx="309">
                  <c:v>0.25791082344480398</c:v>
                </c:pt>
                <c:pt idx="310">
                  <c:v>0.25788530465949816</c:v>
                </c:pt>
                <c:pt idx="311">
                  <c:v>0.2578599499821364</c:v>
                </c:pt>
                <c:pt idx="312">
                  <c:v>0.25783475783475779</c:v>
                </c:pt>
                <c:pt idx="313">
                  <c:v>0.25780972665956686</c:v>
                </c:pt>
                <c:pt idx="314">
                  <c:v>0.2577848549186128</c:v>
                </c:pt>
                <c:pt idx="315">
                  <c:v>0.25776014109347439</c:v>
                </c:pt>
                <c:pt idx="316">
                  <c:v>0.2577355836849507</c:v>
                </c:pt>
                <c:pt idx="317">
                  <c:v>0.25771118121275843</c:v>
                </c:pt>
                <c:pt idx="318">
                  <c:v>0.25768693221523403</c:v>
                </c:pt>
                <c:pt idx="319">
                  <c:v>0.2576628352490421</c:v>
                </c:pt>
                <c:pt idx="320">
                  <c:v>0.25763888888888886</c:v>
                </c:pt>
                <c:pt idx="321">
                  <c:v>0.25761509172724123</c:v>
                </c:pt>
                <c:pt idx="322">
                  <c:v>0.25759144237405102</c:v>
                </c:pt>
                <c:pt idx="323">
                  <c:v>0.25756793945648432</c:v>
                </c:pt>
                <c:pt idx="324">
                  <c:v>0.25754458161865562</c:v>
                </c:pt>
                <c:pt idx="325">
                  <c:v>0.25752136752136745</c:v>
                </c:pt>
                <c:pt idx="326">
                  <c:v>0.25749829584185407</c:v>
                </c:pt>
                <c:pt idx="327">
                  <c:v>0.25747536527353038</c:v>
                </c:pt>
                <c:pt idx="328">
                  <c:v>0.25745257452574521</c:v>
                </c:pt>
                <c:pt idx="329">
                  <c:v>0.25742992232353928</c:v>
                </c:pt>
                <c:pt idx="330">
                  <c:v>0.25740740740740736</c:v>
                </c:pt>
                <c:pt idx="331">
                  <c:v>0.25738502853306472</c:v>
                </c:pt>
                <c:pt idx="332">
                  <c:v>0.25736278447121813</c:v>
                </c:pt>
                <c:pt idx="333">
                  <c:v>0.25734067400734062</c:v>
                </c:pt>
                <c:pt idx="334">
                  <c:v>0.2573186959414504</c:v>
                </c:pt>
                <c:pt idx="335">
                  <c:v>0.2572968490878938</c:v>
                </c:pt>
                <c:pt idx="336">
                  <c:v>0.25727513227513221</c:v>
                </c:pt>
                <c:pt idx="337">
                  <c:v>0.25725354434553244</c:v>
                </c:pt>
                <c:pt idx="338">
                  <c:v>0.25723208415516102</c:v>
                </c:pt>
                <c:pt idx="339">
                  <c:v>0.25721075057358239</c:v>
                </c:pt>
                <c:pt idx="340">
                  <c:v>0.25718954248366011</c:v>
                </c:pt>
                <c:pt idx="341">
                  <c:v>0.25716845878136196</c:v>
                </c:pt>
                <c:pt idx="342">
                  <c:v>0.2571474983755685</c:v>
                </c:pt>
                <c:pt idx="343">
                  <c:v>0.2571266601878846</c:v>
                </c:pt>
                <c:pt idx="344">
                  <c:v>0.25710594315245472</c:v>
                </c:pt>
                <c:pt idx="345">
                  <c:v>0.25708534621578094</c:v>
                </c:pt>
                <c:pt idx="346">
                  <c:v>0.25706486833654457</c:v>
                </c:pt>
                <c:pt idx="347">
                  <c:v>0.25704450848543065</c:v>
                </c:pt>
                <c:pt idx="348">
                  <c:v>0.25702426564495523</c:v>
                </c:pt>
                <c:pt idx="349">
                  <c:v>0.25700413880929635</c:v>
                </c:pt>
                <c:pt idx="350">
                  <c:v>0.25698412698412693</c:v>
                </c:pt>
                <c:pt idx="351">
                  <c:v>0.25696422918645134</c:v>
                </c:pt>
                <c:pt idx="352">
                  <c:v>0.25694444444444442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944-489B-9F36-F6B60E300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Force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chemeClr val="accent4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Data!$BJ$13:$BJ$30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3">
                        <c:v>5.3242862678161451</c:v>
                      </c:pt>
                      <c:pt idx="6">
                        <c:v>3.0503366216184986</c:v>
                      </c:pt>
                      <c:pt idx="9">
                        <c:v>1.5252615882749814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Data!$BA$13:$BA$30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3">
                        <c:v>9.7914100023102899E-2</c:v>
                      </c:pt>
                      <c:pt idx="4">
                        <c:v>0.10150513793698393</c:v>
                      </c:pt>
                      <c:pt idx="5">
                        <c:v>0.12472356655637332</c:v>
                      </c:pt>
                      <c:pt idx="6">
                        <c:v>-0.17087674902104016</c:v>
                      </c:pt>
                      <c:pt idx="7">
                        <c:v>-0.16295681863003972</c:v>
                      </c:pt>
                      <c:pt idx="8">
                        <c:v>-0.15348453183962651</c:v>
                      </c:pt>
                      <c:pt idx="9">
                        <c:v>-0.17991752334724681</c:v>
                      </c:pt>
                      <c:pt idx="10">
                        <c:v>-0.19055686164146682</c:v>
                      </c:pt>
                      <c:pt idx="11">
                        <c:v>-0.19869057049132113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C-4944-489B-9F36-F6B60E300B11}"/>
                  </c:ext>
                </c:extLst>
              </c15:ser>
            </c15:filteredScatterSeries>
            <c15:filteredScatterSeries>
              <c15:ser>
                <c:idx val="7"/>
                <c:order val="2"/>
                <c:tx>
                  <c:v>DNV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chemeClr val="accent3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Data!$CP$13:$CP$30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6.7172711210124172</c:v>
                      </c:pt>
                      <c:pt idx="3">
                        <c:v>5.4108703101817675</c:v>
                      </c:pt>
                      <c:pt idx="6">
                        <c:v>2.9928192700269487</c:v>
                      </c:pt>
                      <c:pt idx="9">
                        <c:v>1.5657124743546975</c:v>
                      </c:pt>
                      <c:pt idx="12">
                        <c:v>0.64656619973792362</c:v>
                      </c:pt>
                      <c:pt idx="15">
                        <c:v>0.46331714973191929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Data!$CI$13:$CI$30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0.21226393355126091</c:v>
                      </c:pt>
                      <c:pt idx="3">
                        <c:v>1.2678959556414406E-2</c:v>
                      </c:pt>
                      <c:pt idx="6">
                        <c:v>0.18182965505238999</c:v>
                      </c:pt>
                      <c:pt idx="9">
                        <c:v>0.13020546620771475</c:v>
                      </c:pt>
                      <c:pt idx="12">
                        <c:v>4.9888015477662813E-2</c:v>
                      </c:pt>
                      <c:pt idx="15">
                        <c:v>-3.8328310445799617E-2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944-489B-9F36-F6B60E300B11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Force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accent4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Data!$BJ$40:$BJ$57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3">
                        <c:v>3.3332560733290122</c:v>
                      </c:pt>
                      <c:pt idx="6">
                        <c:v>1.9099364658821576</c:v>
                      </c:pt>
                      <c:pt idx="9">
                        <c:v>0.95640703643258929</c:v>
                      </c:pt>
                      <c:pt idx="12">
                        <c:v>0.47822025809487373</c:v>
                      </c:pt>
                      <c:pt idx="15">
                        <c:v>0.23911609379345197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Data!$BC$40:$BC$57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3">
                        <c:v>-4.561018965830644E-2</c:v>
                      </c:pt>
                      <c:pt idx="6">
                        <c:v>-0.19032310914915077</c:v>
                      </c:pt>
                      <c:pt idx="9">
                        <c:v>-0.32619508281422188</c:v>
                      </c:pt>
                      <c:pt idx="12">
                        <c:v>-0.28628625758407034</c:v>
                      </c:pt>
                      <c:pt idx="15">
                        <c:v>-0.27529590966746653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4944-489B-9F36-F6B60E300B11}"/>
                  </c:ext>
                </c:extLst>
              </c15:ser>
            </c15:filteredScatterSeries>
            <c15:filteredScatterSeries>
              <c15:ser>
                <c:idx val="6"/>
                <c:order val="5"/>
                <c:tx>
                  <c:v>DNV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accent3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Data!$CP$40:$CP$57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4.6371347141034711</c:v>
                      </c:pt>
                      <c:pt idx="3">
                        <c:v>3.5427122243414639</c:v>
                      </c:pt>
                      <c:pt idx="6">
                        <c:v>2.1424235069826523</c:v>
                      </c:pt>
                      <c:pt idx="9">
                        <c:v>1.1446477990148758</c:v>
                      </c:pt>
                      <c:pt idx="12">
                        <c:v>0.46282949676037638</c:v>
                      </c:pt>
                      <c:pt idx="15">
                        <c:v>0.32891255784956436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Data!$CI$40:$CI$57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-4.5709592299222994E-2</c:v>
                      </c:pt>
                      <c:pt idx="3">
                        <c:v>1.251231068323152E-2</c:v>
                      </c:pt>
                      <c:pt idx="6">
                        <c:v>0.12982435450260174</c:v>
                      </c:pt>
                      <c:pt idx="9">
                        <c:v>0.13624897782207901</c:v>
                      </c:pt>
                      <c:pt idx="12">
                        <c:v>-4.0758486112558228E-3</c:v>
                      </c:pt>
                      <c:pt idx="15">
                        <c:v>-7.2105537168527328E-2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44-489B-9F36-F6B60E300B11}"/>
                  </c:ext>
                </c:extLst>
              </c15:ser>
            </c15:filteredScatterSeries>
            <c15:filteredScatterSeries>
              <c15:ser>
                <c:idx val="2"/>
                <c:order val="6"/>
                <c:tx>
                  <c:v>KCRV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Data!$DC$18:$DC$30</c15:sqref>
                        </c15:formulaRef>
                      </c:ext>
                    </c:extLst>
                    <c:numCache>
                      <c:formatCode>0.00E+00</c:formatCode>
                      <c:ptCount val="13"/>
                      <c:pt idx="1">
                        <c:v>3.0521933559913808</c:v>
                      </c:pt>
                      <c:pt idx="4">
                        <c:v>1.551967890858494</c:v>
                      </c:pt>
                      <c:pt idx="7">
                        <c:v>0.7153792316503319</c:v>
                      </c:pt>
                      <c:pt idx="10">
                        <c:v>0.42955601593859394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Data!$DD$18:$DD$30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1">
                        <c:v>6.6422918635398551E-2</c:v>
                      </c:pt>
                      <c:pt idx="4">
                        <c:v>8.0022861768461514E-3</c:v>
                      </c:pt>
                      <c:pt idx="7">
                        <c:v>6.7260230602703974E-2</c:v>
                      </c:pt>
                      <c:pt idx="10">
                        <c:v>5.8151826857046944E-2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944-489B-9F36-F6B60E300B11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v>KRVC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9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Data!$DC$50:$DC$57</c15:sqref>
                        </c15:formulaRef>
                      </c:ext>
                    </c:extLst>
                    <c:numCache>
                      <c:formatCode>0.00E+00</c:formatCode>
                      <c:ptCount val="8"/>
                      <c:pt idx="2">
                        <c:v>0.47819888256056514</c:v>
                      </c:pt>
                      <c:pt idx="5">
                        <c:v>0.27415298694650941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Data!$DD$50:$DD$57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2">
                        <c:v>-0.11683513048689283</c:v>
                      </c:pt>
                      <c:pt idx="5">
                        <c:v>-0.13690359938862606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944-489B-9F36-F6B60E300B11}"/>
                  </c:ext>
                </c:extLst>
              </c15:ser>
            </c15:filteredScatterSeries>
            <c15:filteredScatterSeries>
              <c15:ser>
                <c:idx val="10"/>
                <c:order val="8"/>
                <c:tx>
                  <c:v>KRVC 50 bar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9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4944-489B-9F36-F6B60E300B11}"/>
                  </c:ext>
                </c:extLst>
              </c15:ser>
            </c15:filteredScatterSeries>
            <c15:filteredScatterSeries>
              <c15:ser>
                <c:idx val="12"/>
                <c:order val="9"/>
                <c:tx>
                  <c:v>NEL Unc. 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rgbClr val="00B0F0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Data!$AC$9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0.35968373006967252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Data!$AC$9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0.35968373006967252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Sheet2!$C$13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8.5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Sheet2!$D$13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944-489B-9F36-F6B60E300B11}"/>
                  </c:ext>
                </c:extLst>
              </c15:ser>
            </c15:filteredScatterSeries>
            <c15:filteredScatterSeries>
              <c15:ser>
                <c:idx val="13"/>
                <c:order val="10"/>
                <c:tx>
                  <c:v>Force Unc. 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4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Data!$BI$9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0.28780447001045129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Data!$BI$9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0.28780447001045129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Sheet2!$C$14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Sheet2!$D$14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4944-489B-9F36-F6B60E300B11}"/>
                  </c:ext>
                </c:extLst>
              </c15:ser>
            </c15:filteredScatterSeries>
            <c15:filteredScatterSeries>
              <c15:ser>
                <c:idx val="14"/>
                <c:order val="11"/>
                <c:tx>
                  <c:v>DNV Unc.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Data!$CO$9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0.27572503983825764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Data!$CO$9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0.27572503983825764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Sheet2!$C$15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9.5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Sheet2!$D$15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944-489B-9F36-F6B60E300B11}"/>
                  </c:ext>
                </c:extLst>
              </c15:ser>
            </c15:filteredScatterSeries>
            <c15:filteredScatterSeries>
              <c15:ser>
                <c:idx val="15"/>
                <c:order val="13"/>
                <c:tx>
                  <c:v>NEL 36 bara N2 23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tar"/>
                  <c:size val="5"/>
                  <c:spPr>
                    <a:noFill/>
                    <a:ln w="1905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N2 35 bar'!$AE$19:$AE$39</c15:sqref>
                        </c15:formulaRef>
                      </c:ext>
                    </c:extLst>
                    <c:numCache>
                      <c:formatCode>0.000</c:formatCode>
                      <c:ptCount val="21"/>
                      <c:pt idx="0">
                        <c:v>6.5486108612944731</c:v>
                      </c:pt>
                      <c:pt idx="3">
                        <c:v>4.8126458924199467</c:v>
                      </c:pt>
                      <c:pt idx="6">
                        <c:v>3.2964354355642711</c:v>
                      </c:pt>
                      <c:pt idx="9">
                        <c:v>1.5998841822638097</c:v>
                      </c:pt>
                      <c:pt idx="12">
                        <c:v>0.59238259129623916</c:v>
                      </c:pt>
                      <c:pt idx="15">
                        <c:v>0.23505069395889699</c:v>
                      </c:pt>
                      <c:pt idx="18">
                        <c:v>5.5255901473251541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N2 35 bar'!$AF$19:$AF$39</c15:sqref>
                        </c15:formulaRef>
                      </c:ext>
                    </c:extLst>
                    <c:numCache>
                      <c:formatCode>0.000</c:formatCode>
                      <c:ptCount val="21"/>
                      <c:pt idx="0">
                        <c:v>0.263575111852977</c:v>
                      </c:pt>
                      <c:pt idx="3">
                        <c:v>0.11369090819430315</c:v>
                      </c:pt>
                      <c:pt idx="6">
                        <c:v>-3.4833696838970133E-3</c:v>
                      </c:pt>
                      <c:pt idx="9">
                        <c:v>7.8761591341290002E-2</c:v>
                      </c:pt>
                      <c:pt idx="12">
                        <c:v>0.1684205327270458</c:v>
                      </c:pt>
                      <c:pt idx="15">
                        <c:v>0.45429997267946604</c:v>
                      </c:pt>
                      <c:pt idx="18">
                        <c:v>-3.6050565517103506E-2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944-489B-9F36-F6B60E300B11}"/>
                  </c:ext>
                </c:extLst>
              </c15:ser>
            </c15:filteredScatterSeries>
            <c15:filteredScatterSeries>
              <c15:ser>
                <c:idx val="16"/>
                <c:order val="14"/>
                <c:tx>
                  <c:v>NEL 28 bara CO2 23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x"/>
                  <c:size val="5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CO2 27 bar'!$AE$20:$AE$37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9.8261757483839318</c:v>
                      </c:pt>
                      <c:pt idx="3">
                        <c:v>8.1028104552670772</c:v>
                      </c:pt>
                      <c:pt idx="6">
                        <c:v>6.5437918775482329</c:v>
                      </c:pt>
                      <c:pt idx="9">
                        <c:v>4.7560138825195368</c:v>
                      </c:pt>
                      <c:pt idx="12">
                        <c:v>3.2797071540623466</c:v>
                      </c:pt>
                      <c:pt idx="15">
                        <c:v>1.5833020177938384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CO2 27 bar'!$AF$20:$AF$37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0.28258620964208941</c:v>
                      </c:pt>
                      <c:pt idx="3">
                        <c:v>0.11725471129465574</c:v>
                      </c:pt>
                      <c:pt idx="6">
                        <c:v>0.20947289805438776</c:v>
                      </c:pt>
                      <c:pt idx="9">
                        <c:v>-2.0360578266372633E-2</c:v>
                      </c:pt>
                      <c:pt idx="12">
                        <c:v>8.4887269224281706E-2</c:v>
                      </c:pt>
                      <c:pt idx="15">
                        <c:v>0.16110641583106536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944-489B-9F36-F6B60E300B11}"/>
                  </c:ext>
                </c:extLst>
              </c15:ser>
            </c15:filteredScatterSeries>
            <c15:filteredScatterSeries>
              <c15:ser>
                <c:idx val="17"/>
                <c:order val="15"/>
                <c:tx>
                  <c:v>NEL 38 bara CO2 23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x"/>
                  <c:size val="5"/>
                  <c:spPr>
                    <a:noFill/>
                    <a:ln w="1905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CO2 37 bar'!$AE$19:$AE$44</c15:sqref>
                        </c15:formulaRef>
                      </c:ext>
                    </c:extLst>
                    <c:numCache>
                      <c:formatCode>0.000</c:formatCode>
                      <c:ptCount val="26"/>
                      <c:pt idx="0">
                        <c:v>12.226821284500971</c:v>
                      </c:pt>
                      <c:pt idx="3">
                        <c:v>10.915970537168159</c:v>
                      </c:pt>
                      <c:pt idx="6">
                        <c:v>9.3974231255852168</c:v>
                      </c:pt>
                      <c:pt idx="11">
                        <c:v>7.6467582253663027</c:v>
                      </c:pt>
                      <c:pt idx="14">
                        <c:v>6.256302474221175</c:v>
                      </c:pt>
                      <c:pt idx="17">
                        <c:v>4.5961922939520612</c:v>
                      </c:pt>
                      <c:pt idx="20">
                        <c:v>3.1498218815023002</c:v>
                      </c:pt>
                      <c:pt idx="23">
                        <c:v>1.5468410535624288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'(TBL) Coriolis CO2 37 bar'!$AF$19:$AF$44</c15:sqref>
                        </c15:formulaRef>
                      </c:ext>
                    </c:extLst>
                    <c:numCache>
                      <c:formatCode>0.000</c:formatCode>
                      <c:ptCount val="26"/>
                      <c:pt idx="0">
                        <c:v>0.19392283998725024</c:v>
                      </c:pt>
                      <c:pt idx="3">
                        <c:v>4.9377256953519022E-2</c:v>
                      </c:pt>
                      <c:pt idx="6">
                        <c:v>0.1393838396261412</c:v>
                      </c:pt>
                      <c:pt idx="11">
                        <c:v>9.9800150567375054E-2</c:v>
                      </c:pt>
                      <c:pt idx="14">
                        <c:v>0.11257521244027779</c:v>
                      </c:pt>
                      <c:pt idx="17">
                        <c:v>0.11461247739519705</c:v>
                      </c:pt>
                      <c:pt idx="20">
                        <c:v>4.017659850306244E-2</c:v>
                      </c:pt>
                      <c:pt idx="23">
                        <c:v>0.23360363852216662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944-489B-9F36-F6B60E300B11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Reference mass flow (kg/s)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1"/>
        <c:crossBetween val="midCat"/>
      </c:valAx>
      <c:valAx>
        <c:axId val="98234976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Error MUT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L"/>
              <a:t>Spec with</a:t>
            </a:r>
            <a:r>
              <a:rPr lang="en-NL" baseline="0"/>
              <a:t> zero additions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'Coriolis Manufact Error'!$E$5</c:f>
              <c:strCache>
                <c:ptCount val="1"/>
                <c:pt idx="0">
                  <c:v>Total  spec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'Coriolis Manufact Error'!$B$6:$B$150</c:f>
              <c:numCache>
                <c:formatCode>General</c:formatCode>
                <c:ptCount val="145"/>
                <c:pt idx="0">
                  <c:v>0.05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</c:numCache>
            </c:numRef>
          </c:xVal>
          <c:yVal>
            <c:numRef>
              <c:f>'Coriolis Manufact Error'!$E$6:$E$150</c:f>
              <c:numCache>
                <c:formatCode>0.000</c:formatCode>
                <c:ptCount val="145"/>
                <c:pt idx="0">
                  <c:v>2.6944444444444446</c:v>
                </c:pt>
                <c:pt idx="1">
                  <c:v>1.996031746031746</c:v>
                </c:pt>
                <c:pt idx="2">
                  <c:v>1.4722222222222223</c:v>
                </c:pt>
                <c:pt idx="3">
                  <c:v>1.0648148148148149</c:v>
                </c:pt>
                <c:pt idx="4">
                  <c:v>0.86111111111111116</c:v>
                </c:pt>
                <c:pt idx="5">
                  <c:v>0.73888888888888893</c:v>
                </c:pt>
                <c:pt idx="6">
                  <c:v>0.65740740740740744</c:v>
                </c:pt>
                <c:pt idx="7">
                  <c:v>0.5992063492063493</c:v>
                </c:pt>
                <c:pt idx="8">
                  <c:v>0.55555555555555558</c:v>
                </c:pt>
                <c:pt idx="9">
                  <c:v>0.52160493827160503</c:v>
                </c:pt>
                <c:pt idx="10">
                  <c:v>0.49444444444444446</c:v>
                </c:pt>
                <c:pt idx="11">
                  <c:v>0.47222222222222221</c:v>
                </c:pt>
                <c:pt idx="12">
                  <c:v>0.45370370370370372</c:v>
                </c:pt>
                <c:pt idx="13">
                  <c:v>0.43803418803418803</c:v>
                </c:pt>
                <c:pt idx="14">
                  <c:v>0.42460317460317465</c:v>
                </c:pt>
                <c:pt idx="15">
                  <c:v>0.41296296296296298</c:v>
                </c:pt>
                <c:pt idx="16">
                  <c:v>0.40277777777777779</c:v>
                </c:pt>
                <c:pt idx="17">
                  <c:v>0.39379084967320266</c:v>
                </c:pt>
                <c:pt idx="18">
                  <c:v>0.38580246913580252</c:v>
                </c:pt>
                <c:pt idx="19">
                  <c:v>0.37865497076023391</c:v>
                </c:pt>
                <c:pt idx="20">
                  <c:v>0.37222222222222223</c:v>
                </c:pt>
                <c:pt idx="21">
                  <c:v>0.3664021164021164</c:v>
                </c:pt>
                <c:pt idx="22">
                  <c:v>0.3611111111111111</c:v>
                </c:pt>
                <c:pt idx="23">
                  <c:v>0.356280193236715</c:v>
                </c:pt>
                <c:pt idx="24">
                  <c:v>0.35185185185185186</c:v>
                </c:pt>
                <c:pt idx="25">
                  <c:v>0.3477777777777778</c:v>
                </c:pt>
                <c:pt idx="26">
                  <c:v>0.34401709401709402</c:v>
                </c:pt>
                <c:pt idx="27">
                  <c:v>0.34053497942386834</c:v>
                </c:pt>
                <c:pt idx="28">
                  <c:v>0.33730158730158732</c:v>
                </c:pt>
                <c:pt idx="29">
                  <c:v>0.33429118773946365</c:v>
                </c:pt>
                <c:pt idx="30">
                  <c:v>0.33148148148148149</c:v>
                </c:pt>
                <c:pt idx="31">
                  <c:v>0.3288530465949821</c:v>
                </c:pt>
                <c:pt idx="32">
                  <c:v>0.3263888888888889</c:v>
                </c:pt>
                <c:pt idx="33">
                  <c:v>0.32407407407407407</c:v>
                </c:pt>
                <c:pt idx="34">
                  <c:v>0.32189542483660133</c:v>
                </c:pt>
                <c:pt idx="35">
                  <c:v>0.31984126984126982</c:v>
                </c:pt>
                <c:pt idx="36">
                  <c:v>0.31790123456790126</c:v>
                </c:pt>
                <c:pt idx="37">
                  <c:v>0.31606606606606608</c:v>
                </c:pt>
                <c:pt idx="38">
                  <c:v>0.31432748538011696</c:v>
                </c:pt>
                <c:pt idx="39">
                  <c:v>0.3126780626780627</c:v>
                </c:pt>
                <c:pt idx="40">
                  <c:v>0.31111111111111112</c:v>
                </c:pt>
                <c:pt idx="41">
                  <c:v>0.30962059620596205</c:v>
                </c:pt>
                <c:pt idx="42">
                  <c:v>0.3082010582010582</c:v>
                </c:pt>
                <c:pt idx="43">
                  <c:v>0.30684754521963825</c:v>
                </c:pt>
                <c:pt idx="44">
                  <c:v>0.30555555555555558</c:v>
                </c:pt>
                <c:pt idx="45">
                  <c:v>0.30432098765432103</c:v>
                </c:pt>
                <c:pt idx="46">
                  <c:v>0.3031400966183575</c:v>
                </c:pt>
                <c:pt idx="47">
                  <c:v>0.30200945626477543</c:v>
                </c:pt>
                <c:pt idx="48">
                  <c:v>0.30092592592592593</c:v>
                </c:pt>
                <c:pt idx="49">
                  <c:v>0.29988662131519273</c:v>
                </c:pt>
                <c:pt idx="50">
                  <c:v>0.29888888888888887</c:v>
                </c:pt>
                <c:pt idx="51">
                  <c:v>0.2979302832244009</c:v>
                </c:pt>
                <c:pt idx="52">
                  <c:v>0.29700854700854701</c:v>
                </c:pt>
                <c:pt idx="53">
                  <c:v>0.29612159329140464</c:v>
                </c:pt>
                <c:pt idx="54">
                  <c:v>0.29526748971193417</c:v>
                </c:pt>
                <c:pt idx="55">
                  <c:v>0.29444444444444445</c:v>
                </c:pt>
                <c:pt idx="56">
                  <c:v>0.29365079365079366</c:v>
                </c:pt>
                <c:pt idx="57">
                  <c:v>0.2928849902534113</c:v>
                </c:pt>
                <c:pt idx="58">
                  <c:v>0.29214559386973182</c:v>
                </c:pt>
                <c:pt idx="59">
                  <c:v>0.29143126177024481</c:v>
                </c:pt>
                <c:pt idx="60">
                  <c:v>0.29074074074074074</c:v>
                </c:pt>
                <c:pt idx="61">
                  <c:v>0.29007285974499092</c:v>
                </c:pt>
                <c:pt idx="62">
                  <c:v>0.28942652329749102</c:v>
                </c:pt>
                <c:pt idx="63">
                  <c:v>0.28880070546737213</c:v>
                </c:pt>
                <c:pt idx="64">
                  <c:v>0.28819444444444442</c:v>
                </c:pt>
                <c:pt idx="65">
                  <c:v>0.28760683760683758</c:v>
                </c:pt>
                <c:pt idx="66">
                  <c:v>0.28703703703703703</c:v>
                </c:pt>
                <c:pt idx="67">
                  <c:v>0.28648424543946932</c:v>
                </c:pt>
                <c:pt idx="68">
                  <c:v>0.28594771241830064</c:v>
                </c:pt>
                <c:pt idx="69">
                  <c:v>0.28542673107890498</c:v>
                </c:pt>
                <c:pt idx="70">
                  <c:v>0.28492063492063491</c:v>
                </c:pt>
                <c:pt idx="71">
                  <c:v>0.28442879499217527</c:v>
                </c:pt>
                <c:pt idx="72">
                  <c:v>0.2839506172839506</c:v>
                </c:pt>
                <c:pt idx="73">
                  <c:v>0.2834855403348554</c:v>
                </c:pt>
                <c:pt idx="74">
                  <c:v>0.28303303303303307</c:v>
                </c:pt>
                <c:pt idx="75">
                  <c:v>0.28259259259259262</c:v>
                </c:pt>
                <c:pt idx="76">
                  <c:v>0.28216374269005851</c:v>
                </c:pt>
                <c:pt idx="77">
                  <c:v>0.28174603174603174</c:v>
                </c:pt>
                <c:pt idx="78">
                  <c:v>0.28133903133903138</c:v>
                </c:pt>
                <c:pt idx="79">
                  <c:v>0.28094233473980312</c:v>
                </c:pt>
                <c:pt idx="80">
                  <c:v>0.28055555555555556</c:v>
                </c:pt>
                <c:pt idx="81">
                  <c:v>0.28017832647462276</c:v>
                </c:pt>
                <c:pt idx="82">
                  <c:v>0.27981029810298103</c:v>
                </c:pt>
                <c:pt idx="83">
                  <c:v>0.2794511378848728</c:v>
                </c:pt>
                <c:pt idx="84">
                  <c:v>0.27910052910052913</c:v>
                </c:pt>
                <c:pt idx="85">
                  <c:v>0.27875816993464053</c:v>
                </c:pt>
                <c:pt idx="86">
                  <c:v>0.27842377260981915</c:v>
                </c:pt>
                <c:pt idx="87">
                  <c:v>0.2780970625798212</c:v>
                </c:pt>
                <c:pt idx="88">
                  <c:v>0.27777777777777779</c:v>
                </c:pt>
                <c:pt idx="89">
                  <c:v>0.27746566791510613</c:v>
                </c:pt>
                <c:pt idx="90">
                  <c:v>0.27716049382716051</c:v>
                </c:pt>
                <c:pt idx="91">
                  <c:v>0.27686202686202688</c:v>
                </c:pt>
                <c:pt idx="92">
                  <c:v>0.27657004830917875</c:v>
                </c:pt>
                <c:pt idx="93">
                  <c:v>0.27628434886499403</c:v>
                </c:pt>
                <c:pt idx="94">
                  <c:v>0.27600472813238769</c:v>
                </c:pt>
                <c:pt idx="95">
                  <c:v>0.27573099415204677</c:v>
                </c:pt>
                <c:pt idx="96">
                  <c:v>0.27546296296296297</c:v>
                </c:pt>
                <c:pt idx="97">
                  <c:v>0.27520045819014893</c:v>
                </c:pt>
                <c:pt idx="98">
                  <c:v>0.27494331065759636</c:v>
                </c:pt>
                <c:pt idx="99">
                  <c:v>0.27469135802469136</c:v>
                </c:pt>
                <c:pt idx="100">
                  <c:v>0.27444444444444444</c:v>
                </c:pt>
                <c:pt idx="101">
                  <c:v>0.27420242024202424</c:v>
                </c:pt>
                <c:pt idx="102">
                  <c:v>0.27396514161220042</c:v>
                </c:pt>
                <c:pt idx="103">
                  <c:v>0.27373247033441206</c:v>
                </c:pt>
                <c:pt idx="104">
                  <c:v>0.27350427350427353</c:v>
                </c:pt>
                <c:pt idx="105">
                  <c:v>0.27328042328042329</c:v>
                </c:pt>
                <c:pt idx="106">
                  <c:v>0.27306079664570232</c:v>
                </c:pt>
                <c:pt idx="107">
                  <c:v>0.2728452751817238</c:v>
                </c:pt>
                <c:pt idx="108">
                  <c:v>0.27263374485596709</c:v>
                </c:pt>
                <c:pt idx="109">
                  <c:v>0.27242609582059124</c:v>
                </c:pt>
                <c:pt idx="110">
                  <c:v>0.27222222222222225</c:v>
                </c:pt>
                <c:pt idx="111">
                  <c:v>0.27202202202202203</c:v>
                </c:pt>
                <c:pt idx="112">
                  <c:v>0.27182539682539686</c:v>
                </c:pt>
                <c:pt idx="113">
                  <c:v>0.27163225172074729</c:v>
                </c:pt>
                <c:pt idx="114">
                  <c:v>0.27144249512670565</c:v>
                </c:pt>
                <c:pt idx="115">
                  <c:v>0.27125603864734299</c:v>
                </c:pt>
                <c:pt idx="116">
                  <c:v>0.27107279693486591</c:v>
                </c:pt>
                <c:pt idx="117">
                  <c:v>0.27089268755935425</c:v>
                </c:pt>
                <c:pt idx="118">
                  <c:v>0.2707156308851224</c:v>
                </c:pt>
                <c:pt idx="119">
                  <c:v>0.27054154995331464</c:v>
                </c:pt>
                <c:pt idx="120">
                  <c:v>0.27037037037037037</c:v>
                </c:pt>
                <c:pt idx="121">
                  <c:v>0.27020202020202022</c:v>
                </c:pt>
                <c:pt idx="122">
                  <c:v>0.27003642987249543</c:v>
                </c:pt>
                <c:pt idx="123">
                  <c:v>0.269873532068654</c:v>
                </c:pt>
                <c:pt idx="124">
                  <c:v>0.26971326164874554</c:v>
                </c:pt>
                <c:pt idx="125">
                  <c:v>0.26955555555555555</c:v>
                </c:pt>
                <c:pt idx="126">
                  <c:v>0.26940035273368607</c:v>
                </c:pt>
                <c:pt idx="127">
                  <c:v>0.26924759405074367</c:v>
                </c:pt>
                <c:pt idx="128">
                  <c:v>0.26909722222222221</c:v>
                </c:pt>
                <c:pt idx="129">
                  <c:v>0.26894918173987942</c:v>
                </c:pt>
                <c:pt idx="130">
                  <c:v>0.26880341880341879</c:v>
                </c:pt>
                <c:pt idx="131">
                  <c:v>0.2686598812553011</c:v>
                </c:pt>
                <c:pt idx="132">
                  <c:v>0.26851851851851855</c:v>
                </c:pt>
                <c:pt idx="133">
                  <c:v>0.26837928153717627</c:v>
                </c:pt>
                <c:pt idx="134">
                  <c:v>0.26824212271973469</c:v>
                </c:pt>
                <c:pt idx="135">
                  <c:v>0.26810699588477366</c:v>
                </c:pt>
                <c:pt idx="136">
                  <c:v>0.26797385620915032</c:v>
                </c:pt>
                <c:pt idx="137">
                  <c:v>0.26784266017842662</c:v>
                </c:pt>
                <c:pt idx="138">
                  <c:v>0.26771336553945252</c:v>
                </c:pt>
                <c:pt idx="139">
                  <c:v>0.26758593125499602</c:v>
                </c:pt>
                <c:pt idx="140">
                  <c:v>0.26746031746031745</c:v>
                </c:pt>
                <c:pt idx="141">
                  <c:v>0.26733648542159183</c:v>
                </c:pt>
                <c:pt idx="142">
                  <c:v>0.26721439749608766</c:v>
                </c:pt>
                <c:pt idx="143">
                  <c:v>0.26709401709401709</c:v>
                </c:pt>
                <c:pt idx="144">
                  <c:v>0.26697530864197533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7-4C3C-90C7-1A89DE295DA7}"/>
            </c:ext>
          </c:extLst>
        </c:ser>
        <c:ser>
          <c:idx val="1"/>
          <c:order val="1"/>
          <c:tx>
            <c:strRef>
              <c:f>'Coriolis Manufact Error'!$F$5</c:f>
              <c:strCache>
                <c:ptCount val="1"/>
                <c:pt idx="0">
                  <c:v>Total -Spec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'Coriolis Manufact Error'!$B$6:$B$150</c:f>
              <c:numCache>
                <c:formatCode>General</c:formatCode>
                <c:ptCount val="145"/>
                <c:pt idx="0">
                  <c:v>0.05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</c:numCache>
            </c:numRef>
          </c:xVal>
          <c:yVal>
            <c:numRef>
              <c:f>'Coriolis Manufact Error'!$F$6:$F$150</c:f>
              <c:numCache>
                <c:formatCode>0.00</c:formatCode>
                <c:ptCount val="145"/>
                <c:pt idx="0">
                  <c:v>-2.6944444444444446</c:v>
                </c:pt>
                <c:pt idx="1">
                  <c:v>-1.996031746031746</c:v>
                </c:pt>
                <c:pt idx="2">
                  <c:v>-1.4722222222222223</c:v>
                </c:pt>
                <c:pt idx="3">
                  <c:v>-1.0648148148148149</c:v>
                </c:pt>
                <c:pt idx="4">
                  <c:v>-0.86111111111111116</c:v>
                </c:pt>
                <c:pt idx="5">
                  <c:v>-0.73888888888888893</c:v>
                </c:pt>
                <c:pt idx="6">
                  <c:v>-0.65740740740740744</c:v>
                </c:pt>
                <c:pt idx="7">
                  <c:v>-0.5992063492063493</c:v>
                </c:pt>
                <c:pt idx="8">
                  <c:v>-0.55555555555555558</c:v>
                </c:pt>
                <c:pt idx="9">
                  <c:v>-0.52160493827160503</c:v>
                </c:pt>
                <c:pt idx="10">
                  <c:v>-0.49444444444444446</c:v>
                </c:pt>
                <c:pt idx="11">
                  <c:v>-0.47222222222222221</c:v>
                </c:pt>
                <c:pt idx="12">
                  <c:v>-0.45370370370370372</c:v>
                </c:pt>
                <c:pt idx="13">
                  <c:v>-0.43803418803418803</c:v>
                </c:pt>
                <c:pt idx="14">
                  <c:v>-0.42460317460317465</c:v>
                </c:pt>
                <c:pt idx="15">
                  <c:v>-0.41296296296296298</c:v>
                </c:pt>
                <c:pt idx="16">
                  <c:v>-0.40277777777777779</c:v>
                </c:pt>
                <c:pt idx="17">
                  <c:v>-0.39379084967320266</c:v>
                </c:pt>
                <c:pt idx="18">
                  <c:v>-0.38580246913580252</c:v>
                </c:pt>
                <c:pt idx="19">
                  <c:v>-0.37865497076023391</c:v>
                </c:pt>
                <c:pt idx="20">
                  <c:v>-0.37222222222222223</c:v>
                </c:pt>
                <c:pt idx="21">
                  <c:v>-0.3664021164021164</c:v>
                </c:pt>
                <c:pt idx="22">
                  <c:v>-0.3611111111111111</c:v>
                </c:pt>
                <c:pt idx="23">
                  <c:v>-0.356280193236715</c:v>
                </c:pt>
                <c:pt idx="24">
                  <c:v>-0.35185185185185186</c:v>
                </c:pt>
                <c:pt idx="25">
                  <c:v>-0.3477777777777778</c:v>
                </c:pt>
                <c:pt idx="26">
                  <c:v>-0.34401709401709402</c:v>
                </c:pt>
                <c:pt idx="27">
                  <c:v>-0.34053497942386834</c:v>
                </c:pt>
                <c:pt idx="28">
                  <c:v>-0.33730158730158732</c:v>
                </c:pt>
                <c:pt idx="29">
                  <c:v>-0.33429118773946365</c:v>
                </c:pt>
                <c:pt idx="30">
                  <c:v>-0.33148148148148149</c:v>
                </c:pt>
                <c:pt idx="31">
                  <c:v>-0.3288530465949821</c:v>
                </c:pt>
                <c:pt idx="32">
                  <c:v>-0.3263888888888889</c:v>
                </c:pt>
                <c:pt idx="33">
                  <c:v>-0.32407407407407407</c:v>
                </c:pt>
                <c:pt idx="34">
                  <c:v>-0.32189542483660133</c:v>
                </c:pt>
                <c:pt idx="35">
                  <c:v>-0.31984126984126982</c:v>
                </c:pt>
                <c:pt idx="36">
                  <c:v>-0.31790123456790126</c:v>
                </c:pt>
                <c:pt idx="37">
                  <c:v>-0.31606606606606608</c:v>
                </c:pt>
                <c:pt idx="38">
                  <c:v>-0.31432748538011696</c:v>
                </c:pt>
                <c:pt idx="39">
                  <c:v>-0.3126780626780627</c:v>
                </c:pt>
                <c:pt idx="40">
                  <c:v>-0.31111111111111112</c:v>
                </c:pt>
                <c:pt idx="41">
                  <c:v>-0.30962059620596205</c:v>
                </c:pt>
                <c:pt idx="42">
                  <c:v>-0.3082010582010582</c:v>
                </c:pt>
                <c:pt idx="43">
                  <c:v>-0.30684754521963825</c:v>
                </c:pt>
                <c:pt idx="44">
                  <c:v>-0.30555555555555558</c:v>
                </c:pt>
                <c:pt idx="45">
                  <c:v>-0.30432098765432103</c:v>
                </c:pt>
                <c:pt idx="46">
                  <c:v>-0.3031400966183575</c:v>
                </c:pt>
                <c:pt idx="47">
                  <c:v>-0.30200945626477543</c:v>
                </c:pt>
                <c:pt idx="48">
                  <c:v>-0.30092592592592593</c:v>
                </c:pt>
                <c:pt idx="49">
                  <c:v>-0.29988662131519273</c:v>
                </c:pt>
                <c:pt idx="50">
                  <c:v>-0.29888888888888887</c:v>
                </c:pt>
                <c:pt idx="51">
                  <c:v>-0.2979302832244009</c:v>
                </c:pt>
                <c:pt idx="52">
                  <c:v>-0.29700854700854701</c:v>
                </c:pt>
                <c:pt idx="53">
                  <c:v>-0.29612159329140464</c:v>
                </c:pt>
                <c:pt idx="54">
                  <c:v>-0.29526748971193417</c:v>
                </c:pt>
                <c:pt idx="55">
                  <c:v>-0.29444444444444445</c:v>
                </c:pt>
                <c:pt idx="56">
                  <c:v>-0.29365079365079366</c:v>
                </c:pt>
                <c:pt idx="57">
                  <c:v>-0.2928849902534113</c:v>
                </c:pt>
                <c:pt idx="58">
                  <c:v>-0.29214559386973182</c:v>
                </c:pt>
                <c:pt idx="59">
                  <c:v>-0.29143126177024481</c:v>
                </c:pt>
                <c:pt idx="60">
                  <c:v>-0.29074074074074074</c:v>
                </c:pt>
                <c:pt idx="61">
                  <c:v>-0.29007285974499092</c:v>
                </c:pt>
                <c:pt idx="62">
                  <c:v>-0.28942652329749102</c:v>
                </c:pt>
                <c:pt idx="63">
                  <c:v>-0.28880070546737213</c:v>
                </c:pt>
                <c:pt idx="64">
                  <c:v>-0.28819444444444442</c:v>
                </c:pt>
                <c:pt idx="65">
                  <c:v>-0.28760683760683758</c:v>
                </c:pt>
                <c:pt idx="66">
                  <c:v>-0.28703703703703703</c:v>
                </c:pt>
                <c:pt idx="67">
                  <c:v>-0.28648424543946932</c:v>
                </c:pt>
                <c:pt idx="68">
                  <c:v>-0.28594771241830064</c:v>
                </c:pt>
                <c:pt idx="69">
                  <c:v>-0.28542673107890498</c:v>
                </c:pt>
                <c:pt idx="70">
                  <c:v>-0.28492063492063491</c:v>
                </c:pt>
                <c:pt idx="71">
                  <c:v>-0.28442879499217527</c:v>
                </c:pt>
                <c:pt idx="72">
                  <c:v>-0.2839506172839506</c:v>
                </c:pt>
                <c:pt idx="73">
                  <c:v>-0.2834855403348554</c:v>
                </c:pt>
                <c:pt idx="74">
                  <c:v>-0.28303303303303307</c:v>
                </c:pt>
                <c:pt idx="75">
                  <c:v>-0.28259259259259262</c:v>
                </c:pt>
                <c:pt idx="76">
                  <c:v>-0.28216374269005851</c:v>
                </c:pt>
                <c:pt idx="77">
                  <c:v>-0.28174603174603174</c:v>
                </c:pt>
                <c:pt idx="78">
                  <c:v>-0.28133903133903138</c:v>
                </c:pt>
                <c:pt idx="79">
                  <c:v>-0.28094233473980312</c:v>
                </c:pt>
                <c:pt idx="80">
                  <c:v>-0.28055555555555556</c:v>
                </c:pt>
                <c:pt idx="81">
                  <c:v>-0.28017832647462276</c:v>
                </c:pt>
                <c:pt idx="82">
                  <c:v>-0.27981029810298103</c:v>
                </c:pt>
                <c:pt idx="83">
                  <c:v>-0.2794511378848728</c:v>
                </c:pt>
                <c:pt idx="84">
                  <c:v>-0.27910052910052913</c:v>
                </c:pt>
                <c:pt idx="85">
                  <c:v>-0.27875816993464053</c:v>
                </c:pt>
                <c:pt idx="86">
                  <c:v>-0.27842377260981915</c:v>
                </c:pt>
                <c:pt idx="87">
                  <c:v>-0.2780970625798212</c:v>
                </c:pt>
                <c:pt idx="88">
                  <c:v>-0.27777777777777779</c:v>
                </c:pt>
                <c:pt idx="89">
                  <c:v>-0.27746566791510613</c:v>
                </c:pt>
                <c:pt idx="90">
                  <c:v>-0.27716049382716051</c:v>
                </c:pt>
                <c:pt idx="91">
                  <c:v>-0.27686202686202688</c:v>
                </c:pt>
                <c:pt idx="92">
                  <c:v>-0.27657004830917875</c:v>
                </c:pt>
                <c:pt idx="93">
                  <c:v>-0.27628434886499403</c:v>
                </c:pt>
                <c:pt idx="94">
                  <c:v>-0.27600472813238769</c:v>
                </c:pt>
                <c:pt idx="95">
                  <c:v>-0.27573099415204677</c:v>
                </c:pt>
                <c:pt idx="96">
                  <c:v>-0.27546296296296297</c:v>
                </c:pt>
                <c:pt idx="97">
                  <c:v>-0.27520045819014893</c:v>
                </c:pt>
                <c:pt idx="98">
                  <c:v>-0.27494331065759636</c:v>
                </c:pt>
                <c:pt idx="99">
                  <c:v>-0.27469135802469136</c:v>
                </c:pt>
                <c:pt idx="100">
                  <c:v>-0.27444444444444444</c:v>
                </c:pt>
                <c:pt idx="101">
                  <c:v>-0.27420242024202424</c:v>
                </c:pt>
                <c:pt idx="102">
                  <c:v>-0.27396514161220042</c:v>
                </c:pt>
                <c:pt idx="103">
                  <c:v>-0.27373247033441206</c:v>
                </c:pt>
                <c:pt idx="104">
                  <c:v>-0.27350427350427353</c:v>
                </c:pt>
                <c:pt idx="105">
                  <c:v>-0.27328042328042329</c:v>
                </c:pt>
                <c:pt idx="106">
                  <c:v>-0.27306079664570232</c:v>
                </c:pt>
                <c:pt idx="107">
                  <c:v>-0.2728452751817238</c:v>
                </c:pt>
                <c:pt idx="108">
                  <c:v>-0.27263374485596709</c:v>
                </c:pt>
                <c:pt idx="109">
                  <c:v>-0.27242609582059124</c:v>
                </c:pt>
                <c:pt idx="110">
                  <c:v>-0.27222222222222225</c:v>
                </c:pt>
                <c:pt idx="111">
                  <c:v>-0.27202202202202203</c:v>
                </c:pt>
                <c:pt idx="112">
                  <c:v>-0.27182539682539686</c:v>
                </c:pt>
                <c:pt idx="113">
                  <c:v>-0.27163225172074729</c:v>
                </c:pt>
                <c:pt idx="114">
                  <c:v>-0.27144249512670565</c:v>
                </c:pt>
                <c:pt idx="115">
                  <c:v>-0.27125603864734299</c:v>
                </c:pt>
                <c:pt idx="116">
                  <c:v>-0.27107279693486591</c:v>
                </c:pt>
                <c:pt idx="117">
                  <c:v>-0.27089268755935425</c:v>
                </c:pt>
                <c:pt idx="118">
                  <c:v>-0.2707156308851224</c:v>
                </c:pt>
                <c:pt idx="119">
                  <c:v>-0.27054154995331464</c:v>
                </c:pt>
                <c:pt idx="120">
                  <c:v>-0.27037037037037037</c:v>
                </c:pt>
                <c:pt idx="121">
                  <c:v>-0.27020202020202022</c:v>
                </c:pt>
                <c:pt idx="122">
                  <c:v>-0.27003642987249543</c:v>
                </c:pt>
                <c:pt idx="123">
                  <c:v>-0.269873532068654</c:v>
                </c:pt>
                <c:pt idx="124">
                  <c:v>-0.26971326164874554</c:v>
                </c:pt>
                <c:pt idx="125">
                  <c:v>-0.26955555555555555</c:v>
                </c:pt>
                <c:pt idx="126">
                  <c:v>-0.26940035273368607</c:v>
                </c:pt>
                <c:pt idx="127">
                  <c:v>-0.26924759405074367</c:v>
                </c:pt>
                <c:pt idx="128">
                  <c:v>-0.26909722222222221</c:v>
                </c:pt>
                <c:pt idx="129">
                  <c:v>-0.26894918173987942</c:v>
                </c:pt>
                <c:pt idx="130">
                  <c:v>-0.26880341880341879</c:v>
                </c:pt>
                <c:pt idx="131">
                  <c:v>-0.2686598812553011</c:v>
                </c:pt>
                <c:pt idx="132">
                  <c:v>-0.26851851851851855</c:v>
                </c:pt>
                <c:pt idx="133">
                  <c:v>-0.26837928153717627</c:v>
                </c:pt>
                <c:pt idx="134">
                  <c:v>-0.26824212271973469</c:v>
                </c:pt>
                <c:pt idx="135">
                  <c:v>-0.26810699588477366</c:v>
                </c:pt>
                <c:pt idx="136">
                  <c:v>-0.26797385620915032</c:v>
                </c:pt>
                <c:pt idx="137">
                  <c:v>-0.26784266017842662</c:v>
                </c:pt>
                <c:pt idx="138">
                  <c:v>-0.26771336553945252</c:v>
                </c:pt>
                <c:pt idx="139">
                  <c:v>-0.26758593125499602</c:v>
                </c:pt>
                <c:pt idx="140">
                  <c:v>-0.26746031746031745</c:v>
                </c:pt>
                <c:pt idx="141">
                  <c:v>-0.26733648542159183</c:v>
                </c:pt>
                <c:pt idx="142">
                  <c:v>-0.26721439749608766</c:v>
                </c:pt>
                <c:pt idx="143">
                  <c:v>-0.26709401709401709</c:v>
                </c:pt>
                <c:pt idx="144">
                  <c:v>-0.26697530864197533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A7-4C3C-90C7-1A89DE295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294272"/>
        <c:axId val="1537577920"/>
      </c:scatterChart>
      <c:valAx>
        <c:axId val="187329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577920"/>
        <c:crosses val="autoZero"/>
        <c:crossBetween val="midCat"/>
      </c:valAx>
      <c:valAx>
        <c:axId val="153757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3294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5A2B0C-6727-46FE-BF4F-65C0C255EBBB}">
  <sheetPr codeName="Chart3"/>
  <sheetViews>
    <sheetView zoomScale="13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31B9DA-C9D9-4FDD-84E0-3E8FFF83C852}">
  <sheetPr codeName="Chart7"/>
  <sheetViews>
    <sheetView zoomScale="13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1FEFCC-EDAF-4463-BF5A-97943B33108C}">
  <sheetPr codeName="Chart4"/>
  <sheetViews>
    <sheetView zoomScale="13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BB1F0F8-6E9E-4839-BFB3-F1877D0FC219}">
  <sheetPr codeName="Chart5"/>
  <sheetViews>
    <sheetView zoomScale="13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68D8A8B-D741-4379-B240-89C307F412C9}">
  <sheetPr codeName="Chart8"/>
  <sheetViews>
    <sheetView zoomScale="129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A6711F-A219-4CF1-BE31-89702B20881A}">
  <sheetPr codeName="Chart6"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BE553F-5333-8BA4-28AD-D8E1892E78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AEBBE8-16A4-94C5-868E-9240F6B62C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555DDE-B49A-9AF2-C9BB-60FDF8C0DE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6D7866-3ECD-E839-74CB-AD35B388CE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FF9F21-0086-CA87-47BE-9C02C390DC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1D7F37-B61D-B265-F1F1-AAFEDE59F3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356924</xdr:colOff>
      <xdr:row>3</xdr:row>
      <xdr:rowOff>117982</xdr:rowOff>
    </xdr:from>
    <xdr:ext cx="7432253" cy="3605757"/>
    <xdr:pic>
      <xdr:nvPicPr>
        <xdr:cNvPr id="2" name="Picture 1">
          <a:extLst>
            <a:ext uri="{FF2B5EF4-FFF2-40B4-BE49-F238E27FC236}">
              <a16:creationId xmlns:a16="http://schemas.microsoft.com/office/drawing/2014/main" id="{43F06E12-F456-48D6-8925-FEB2FA3D4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724" y="689482"/>
          <a:ext cx="7432253" cy="3605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350618</xdr:colOff>
      <xdr:row>38</xdr:row>
      <xdr:rowOff>2687</xdr:rowOff>
    </xdr:from>
    <xdr:ext cx="6873154" cy="4203175"/>
    <xdr:pic>
      <xdr:nvPicPr>
        <xdr:cNvPr id="3" name="Picture 2">
          <a:extLst>
            <a:ext uri="{FF2B5EF4-FFF2-40B4-BE49-F238E27FC236}">
              <a16:creationId xmlns:a16="http://schemas.microsoft.com/office/drawing/2014/main" id="{D7F58795-10BA-46DC-A585-B938ED9DC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7018" y="7241687"/>
          <a:ext cx="6873154" cy="4203175"/>
        </a:xfrm>
        <a:prstGeom prst="rect">
          <a:avLst/>
        </a:prstGeom>
      </xdr:spPr>
    </xdr:pic>
    <xdr:clientData/>
  </xdr:oneCellAnchor>
  <xdr:oneCellAnchor>
    <xdr:from>
      <xdr:col>8</xdr:col>
      <xdr:colOff>477532</xdr:colOff>
      <xdr:row>21</xdr:row>
      <xdr:rowOff>179137</xdr:rowOff>
    </xdr:from>
    <xdr:ext cx="6909064" cy="3047130"/>
    <xdr:pic>
      <xdr:nvPicPr>
        <xdr:cNvPr id="4" name="Picture 3">
          <a:extLst>
            <a:ext uri="{FF2B5EF4-FFF2-40B4-BE49-F238E27FC236}">
              <a16:creationId xmlns:a16="http://schemas.microsoft.com/office/drawing/2014/main" id="{80458458-797E-45AF-BD63-0B37B2EBF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54332" y="4179637"/>
          <a:ext cx="6909064" cy="3047130"/>
        </a:xfrm>
        <a:prstGeom prst="rect">
          <a:avLst/>
        </a:prstGeom>
      </xdr:spPr>
    </xdr:pic>
    <xdr:clientData/>
  </xdr:oneCellAnchor>
  <xdr:twoCellAnchor>
    <xdr:from>
      <xdr:col>22</xdr:col>
      <xdr:colOff>52301</xdr:colOff>
      <xdr:row>5</xdr:row>
      <xdr:rowOff>137870</xdr:rowOff>
    </xdr:from>
    <xdr:to>
      <xdr:col>29</xdr:col>
      <xdr:colOff>333866</xdr:colOff>
      <xdr:row>20</xdr:row>
      <xdr:rowOff>23570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7A3D95-4FAE-4A87-B87A-E580861EE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uevsued-my.sharepoint.com/personal/chine-gb_gb010_itgr_net/Documents/Desktop/Journal%20Articles%20Drafting/03%20-%20EMR013%20-%20JFMI%20-%20CO2%20gas/EMR013%20test%20results%20v7.xlsx" TargetMode="External"/><Relationship Id="rId1" Type="http://schemas.openxmlformats.org/officeDocument/2006/relationships/externalLinkPath" Target="/personal/chine-gb_gb010_itgr_net/Documents/Desktop/Journal%20Articles%20Drafting/03%20-%20EMR013%20-%20JFMI%20-%20CO2%20gas/EMR013%20test%20results%20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TBL) Orifice N2 60 bar"/>
      <sheetName val="(TBL) Orifice CO2 27 bar"/>
      <sheetName val="USM Chart"/>
      <sheetName val="Orifice Chart"/>
      <sheetName val="Coriolis Chart Comp"/>
      <sheetName val="Coriolis Chart"/>
      <sheetName val="EPAT Results 24-8-23"/>
      <sheetName val="Chart2"/>
      <sheetName val="Chart5"/>
      <sheetName val="8inch USM N2 10 bar"/>
      <sheetName val="8inch USM N2 35 bar"/>
      <sheetName val="8inch USM N2 60 bar"/>
      <sheetName val="8inch USM CO2 10 bar"/>
      <sheetName val="Sheet1"/>
      <sheetName val="8inch USM CO2 27 bar"/>
      <sheetName val="8inch USM CO2 37 bar"/>
      <sheetName val="Orifice N2 10 bar"/>
      <sheetName val="Orifice N2 35 bar"/>
      <sheetName val="Orifice N2 60 bar"/>
      <sheetName val="Orifice CO2 10 bar"/>
      <sheetName val="Orifice CO2 27 bar"/>
      <sheetName val="Orifice CO2 37 bar"/>
      <sheetName val="Orifice ISO 5167"/>
      <sheetName val="(TBL) Coriolis N2 10 bar"/>
      <sheetName val="(TBL) Coriolis CO2 10 bar"/>
      <sheetName val="Coriolis Manufact Error"/>
      <sheetName val="(TBL) Turbine N2 10 bar"/>
      <sheetName val="(TBL) Turbine N2 35 bar"/>
      <sheetName val="(TBL) Turbine N2 60 bar"/>
      <sheetName val="(TBL) Turbine CO2 10 bar"/>
      <sheetName val="(TBL) Turbine CO2 27 bar"/>
      <sheetName val="(TBL) Turbine CO2 37 b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BL1">
            <v>8.20304581916039E-2</v>
          </cell>
        </row>
        <row r="2">
          <cell r="BL2">
            <v>-1.2922266296989613E-2</v>
          </cell>
        </row>
        <row r="3">
          <cell r="BL3">
            <v>-0.11908411135793115</v>
          </cell>
        </row>
        <row r="4">
          <cell r="BL4">
            <v>-6.7147345489652774E-2</v>
          </cell>
        </row>
        <row r="5">
          <cell r="BL5">
            <v>0.12150091665862671</v>
          </cell>
        </row>
        <row r="6">
          <cell r="BL6">
            <v>-1.1760973620189581E-4</v>
          </cell>
        </row>
        <row r="7">
          <cell r="BL7">
            <v>-1.6600711533985849E-2</v>
          </cell>
        </row>
        <row r="8">
          <cell r="BL8">
            <v>-4.2815480982609365E-2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CF18-2CD5-467F-808D-5A4B35ABD5C7}">
  <sheetPr codeName="Sheet2"/>
  <dimension ref="A1:DT77"/>
  <sheetViews>
    <sheetView zoomScaleNormal="100" workbookViewId="0">
      <selection activeCell="H6" sqref="H6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15.42578125" bestFit="1" customWidth="1"/>
    <col min="4" max="4" width="20.7109375" bestFit="1" customWidth="1"/>
    <col min="5" max="5" width="9.28515625" bestFit="1" customWidth="1"/>
    <col min="6" max="6" width="18.42578125" customWidth="1"/>
    <col min="7" max="7" width="11.42578125" bestFit="1" customWidth="1"/>
    <col min="8" max="8" width="13.28515625" customWidth="1"/>
    <col min="9" max="9" width="11.7109375" bestFit="1" customWidth="1"/>
    <col min="10" max="10" width="17.85546875" customWidth="1"/>
    <col min="11" max="12" width="11.7109375" customWidth="1"/>
    <col min="13" max="13" width="11.5703125" customWidth="1"/>
    <col min="14" max="14" width="14.28515625" bestFit="1" customWidth="1"/>
    <col min="15" max="15" width="11.7109375" bestFit="1" customWidth="1"/>
    <col min="16" max="16" width="4.5703125" bestFit="1" customWidth="1"/>
    <col min="17" max="17" width="15" bestFit="1" customWidth="1"/>
    <col min="18" max="18" width="7.28515625" customWidth="1"/>
    <col min="19" max="19" width="12.42578125" customWidth="1"/>
    <col min="20" max="20" width="14.85546875" customWidth="1"/>
    <col min="21" max="21" width="11.5703125" bestFit="1" customWidth="1"/>
    <col min="22" max="22" width="10.140625" customWidth="1"/>
    <col min="23" max="23" width="11.7109375" customWidth="1"/>
    <col min="24" max="25" width="9.140625" customWidth="1"/>
    <col min="26" max="26" width="13" bestFit="1" customWidth="1"/>
    <col min="27" max="27" width="12.28515625" bestFit="1" customWidth="1"/>
    <col min="28" max="29" width="9.140625" customWidth="1"/>
    <col min="30" max="30" width="13.28515625" customWidth="1"/>
    <col min="31" max="35" width="9.140625" customWidth="1"/>
    <col min="36" max="36" width="18.5703125" bestFit="1" customWidth="1"/>
    <col min="37" max="37" width="9.85546875" bestFit="1" customWidth="1"/>
    <col min="38" max="38" width="13.140625" bestFit="1" customWidth="1"/>
    <col min="39" max="39" width="11.42578125" bestFit="1" customWidth="1"/>
    <col min="40" max="40" width="7.28515625" bestFit="1" customWidth="1"/>
    <col min="41" max="41" width="9.28515625" bestFit="1" customWidth="1"/>
    <col min="42" max="42" width="8.140625" bestFit="1" customWidth="1"/>
    <col min="43" max="52" width="8.140625" customWidth="1"/>
    <col min="53" max="53" width="9.140625" customWidth="1"/>
    <col min="54" max="54" width="14.85546875" customWidth="1"/>
    <col min="55" max="56" width="9.28515625" bestFit="1" customWidth="1"/>
    <col min="57" max="58" width="9.28515625" customWidth="1"/>
    <col min="59" max="61" width="9.28515625" bestFit="1" customWidth="1"/>
    <col min="62" max="62" width="10.7109375" bestFit="1" customWidth="1"/>
    <col min="66" max="67" width="11.7109375" customWidth="1"/>
    <col min="68" max="68" width="20.42578125" bestFit="1" customWidth="1"/>
    <col min="69" max="69" width="11.7109375" customWidth="1"/>
    <col min="70" max="70" width="15.5703125" bestFit="1" customWidth="1"/>
    <col min="71" max="73" width="11.85546875" bestFit="1" customWidth="1"/>
    <col min="74" max="74" width="14" bestFit="1" customWidth="1"/>
    <col min="75" max="84" width="14" customWidth="1"/>
    <col min="85" max="85" width="11.7109375" bestFit="1" customWidth="1"/>
    <col min="86" max="86" width="11.140625" bestFit="1" customWidth="1"/>
    <col min="87" max="88" width="9.28515625" bestFit="1" customWidth="1"/>
    <col min="89" max="90" width="9.28515625" customWidth="1"/>
    <col min="91" max="93" width="9.28515625" bestFit="1" customWidth="1"/>
    <col min="94" max="94" width="12.42578125" customWidth="1"/>
    <col min="100" max="100" width="17.85546875" customWidth="1"/>
    <col min="101" max="101" width="16" customWidth="1"/>
    <col min="102" max="105" width="15" bestFit="1" customWidth="1"/>
    <col min="107" max="107" width="16.85546875" customWidth="1"/>
    <col min="108" max="108" width="9.28515625" bestFit="1" customWidth="1"/>
    <col min="109" max="109" width="14.42578125" customWidth="1"/>
    <col min="110" max="111" width="14.7109375" customWidth="1"/>
    <col min="112" max="112" width="10.28515625" bestFit="1" customWidth="1"/>
    <col min="113" max="113" width="9.28515625" bestFit="1" customWidth="1"/>
    <col min="114" max="114" width="10.7109375" bestFit="1" customWidth="1"/>
    <col min="115" max="115" width="14.7109375" bestFit="1" customWidth="1"/>
    <col min="116" max="116" width="9.28515625" bestFit="1" customWidth="1"/>
    <col min="117" max="117" width="12.42578125" customWidth="1"/>
    <col min="118" max="118" width="14.140625" bestFit="1" customWidth="1"/>
    <col min="119" max="119" width="9.28515625" bestFit="1" customWidth="1"/>
    <col min="120" max="120" width="14.85546875" customWidth="1"/>
    <col min="122" max="122" width="23.42578125" bestFit="1" customWidth="1"/>
    <col min="123" max="124" width="10" bestFit="1" customWidth="1"/>
  </cols>
  <sheetData>
    <row r="1" spans="1:124" ht="18.75" x14ac:dyDescent="0.3">
      <c r="DR1" s="42"/>
      <c r="DS1" s="42" t="s">
        <v>28</v>
      </c>
      <c r="DT1" s="42" t="s">
        <v>29</v>
      </c>
    </row>
    <row r="2" spans="1:124" ht="15" customHeight="1" x14ac:dyDescent="0.3">
      <c r="C2" s="191" t="s">
        <v>32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28"/>
      <c r="AF2" s="28"/>
      <c r="AG2" s="28"/>
      <c r="AH2" s="28"/>
      <c r="AI2" s="192" t="s">
        <v>12</v>
      </c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29"/>
      <c r="BN2" s="29"/>
      <c r="BO2" s="186" t="s">
        <v>34</v>
      </c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DR2" s="42" t="s">
        <v>24</v>
      </c>
      <c r="DS2" s="42">
        <f>COUNTA(DJ13:DJ30,DM13:DM30,DP13:DP30,DJ40:DJ57,DM40:DM57,DP40:DP57,#REF!,#REF!,#REF!)</f>
        <v>35</v>
      </c>
      <c r="DT2" s="42"/>
    </row>
    <row r="3" spans="1:124" ht="15" customHeight="1" x14ac:dyDescent="0.3"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8"/>
      <c r="AF3" s="28"/>
      <c r="AG3" s="28"/>
      <c r="AH3" s="28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29"/>
      <c r="BN3" s="29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DR3" s="42" t="s">
        <v>26</v>
      </c>
      <c r="DS3" s="43">
        <f>COUNTIF(DJ13:DJ30, "&gt;"&amp;1)+ COUNTIF(DM13:DM30, "&gt;"&amp;1) +COUNTIF(DP13:DP30, "&gt;"&amp;1)+COUNTIF(DJ40:DJ57, "&gt;"&amp;1)+COUNTIF(DP40:DP57, "&gt;"&amp;1)+ +COUNTIF(DM40:DM57, "&gt;"&amp;1)</f>
        <v>3</v>
      </c>
      <c r="DT3" s="44">
        <f>DS3/DS2*100</f>
        <v>8.5714285714285712</v>
      </c>
    </row>
    <row r="4" spans="1:124" ht="18.75" x14ac:dyDescent="0.3">
      <c r="AB4" s="7"/>
      <c r="AC4" s="7"/>
      <c r="AD4" s="7"/>
      <c r="AE4" s="7"/>
      <c r="AF4" s="7"/>
      <c r="AG4" s="7"/>
      <c r="AH4" s="7"/>
      <c r="AI4" s="7"/>
      <c r="DR4" s="42" t="s">
        <v>25</v>
      </c>
      <c r="DS4" s="43">
        <f>COUNTIF(DJ13:DJ30, "&gt;"&amp;1.2)+ COUNTIF(DM13:DM30, "&gt;"&amp;1.2) +COUNTIF(DP13:DP30, "&gt;"&amp;1.2)+COUNTIF(DJ40:DJ57, "&gt;"&amp;1.2)+COUNTIF(DP40:DP57, "&gt;"&amp;1.2)+COUNTIF(DM40:DM57, "&gt;"&amp;1.2)</f>
        <v>1</v>
      </c>
      <c r="DT4" s="44">
        <f>DS4/DS2*100</f>
        <v>2.8571428571428572</v>
      </c>
    </row>
    <row r="5" spans="1:124" ht="18.75" x14ac:dyDescent="0.3">
      <c r="C5" t="s">
        <v>194</v>
      </c>
      <c r="D5" s="168"/>
      <c r="E5" s="168">
        <v>1.63</v>
      </c>
      <c r="F5" s="34" t="s">
        <v>195</v>
      </c>
      <c r="AB5" s="7"/>
      <c r="AC5" s="7"/>
      <c r="AD5" s="7"/>
      <c r="AE5" s="7"/>
      <c r="AF5" s="7"/>
      <c r="AG5" s="7"/>
      <c r="AH5" s="7"/>
      <c r="AI5" t="s">
        <v>194</v>
      </c>
      <c r="AJ5" s="168"/>
      <c r="AK5" s="168">
        <v>1.61</v>
      </c>
      <c r="AL5" s="34" t="s">
        <v>195</v>
      </c>
      <c r="BO5" t="s">
        <v>194</v>
      </c>
      <c r="BP5" s="168"/>
      <c r="BQ5" s="168">
        <v>1.59</v>
      </c>
      <c r="BR5" s="34" t="s">
        <v>195</v>
      </c>
      <c r="DR5" s="42" t="s">
        <v>27</v>
      </c>
      <c r="DS5" s="43">
        <f>DS3-DS4</f>
        <v>2</v>
      </c>
      <c r="DT5" s="44">
        <f>DS5/DS2*100</f>
        <v>5.7142857142857144</v>
      </c>
    </row>
    <row r="6" spans="1:124" ht="18.75" x14ac:dyDescent="0.3">
      <c r="C6" t="s">
        <v>196</v>
      </c>
      <c r="D6" s="34"/>
      <c r="E6" s="34">
        <v>44.01</v>
      </c>
      <c r="F6" s="34" t="s">
        <v>197</v>
      </c>
      <c r="AB6" s="7"/>
      <c r="AC6" s="7"/>
      <c r="AD6" s="7"/>
      <c r="AE6" s="7"/>
      <c r="AF6" s="7"/>
      <c r="AG6" s="7"/>
      <c r="AH6" s="7"/>
      <c r="AI6" t="s">
        <v>196</v>
      </c>
      <c r="AJ6" s="34"/>
      <c r="AK6" s="34">
        <v>44.01</v>
      </c>
      <c r="AL6" s="34" t="s">
        <v>197</v>
      </c>
      <c r="BO6" t="s">
        <v>196</v>
      </c>
      <c r="BP6" s="34"/>
      <c r="BQ6" s="34">
        <v>44.01</v>
      </c>
      <c r="BR6" s="34" t="s">
        <v>197</v>
      </c>
      <c r="DR6" s="42" t="s">
        <v>30</v>
      </c>
      <c r="DS6" s="43">
        <f>DS2-DS3</f>
        <v>32</v>
      </c>
      <c r="DT6" s="45">
        <f>DS6/DS2*100</f>
        <v>91.428571428571431</v>
      </c>
    </row>
    <row r="7" spans="1:124" x14ac:dyDescent="0.25">
      <c r="D7" s="183"/>
      <c r="E7" s="184" t="s">
        <v>45</v>
      </c>
      <c r="F7" s="34"/>
      <c r="AB7" s="7"/>
      <c r="AC7" s="7"/>
      <c r="AD7" s="7"/>
      <c r="AE7" s="7"/>
      <c r="AF7" s="7"/>
      <c r="AG7" s="7"/>
      <c r="AH7" s="7"/>
      <c r="AJ7" s="183"/>
      <c r="AK7" s="184" t="s">
        <v>45</v>
      </c>
      <c r="AL7" s="34"/>
      <c r="BP7" s="183"/>
      <c r="BQ7" s="184" t="s">
        <v>45</v>
      </c>
      <c r="BR7" s="34"/>
    </row>
    <row r="8" spans="1:124" x14ac:dyDescent="0.25">
      <c r="AB8" s="7"/>
      <c r="AC8" s="7"/>
      <c r="AD8" s="7"/>
      <c r="AE8" s="7"/>
      <c r="AF8" s="7"/>
      <c r="AG8" s="7"/>
      <c r="AH8" s="7"/>
      <c r="AI8" s="7"/>
    </row>
    <row r="9" spans="1:124" x14ac:dyDescent="0.25">
      <c r="C9" s="7" t="s">
        <v>54</v>
      </c>
      <c r="D9" s="56" t="s">
        <v>55</v>
      </c>
      <c r="AB9" s="7"/>
      <c r="AC9" s="7">
        <f>AVERAGE(AC13:AC30,AC40:AC57)</f>
        <v>0.35968373006967252</v>
      </c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>
        <f>AVERAGE(BI13:BI30,BI40:BI57)</f>
        <v>0.28780447001045129</v>
      </c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>
        <f>AVERAGE(CO13:CO30,CO40:CO57)</f>
        <v>0.27572503983825764</v>
      </c>
      <c r="CP9" s="7"/>
    </row>
    <row r="10" spans="1:124" ht="21" x14ac:dyDescent="0.35">
      <c r="C10" s="1" t="s">
        <v>35</v>
      </c>
      <c r="E10" s="3"/>
      <c r="F10" s="1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AI10" s="1" t="s">
        <v>35</v>
      </c>
      <c r="AJ10" s="1"/>
      <c r="BO10" s="1" t="s">
        <v>35</v>
      </c>
      <c r="BR10" s="1"/>
      <c r="CV10" s="193" t="s">
        <v>32</v>
      </c>
      <c r="CW10" s="193"/>
      <c r="CX10" s="194" t="s">
        <v>12</v>
      </c>
      <c r="CY10" s="194"/>
      <c r="CZ10" s="195" t="s">
        <v>34</v>
      </c>
      <c r="DA10" s="195"/>
      <c r="DH10" s="193" t="s">
        <v>32</v>
      </c>
      <c r="DI10" s="193"/>
      <c r="DJ10" s="193"/>
      <c r="DK10" s="194" t="s">
        <v>12</v>
      </c>
      <c r="DL10" s="194"/>
      <c r="DM10" s="194"/>
      <c r="DN10" s="195" t="s">
        <v>34</v>
      </c>
      <c r="DO10" s="195"/>
      <c r="DP10" s="195"/>
    </row>
    <row r="11" spans="1:124" ht="75" x14ac:dyDescent="0.25">
      <c r="C11" s="14" t="s">
        <v>44</v>
      </c>
      <c r="D11" s="14" t="s">
        <v>0</v>
      </c>
      <c r="E11" s="8" t="s">
        <v>1</v>
      </c>
      <c r="F11" s="15" t="s">
        <v>36</v>
      </c>
      <c r="G11" s="15" t="s">
        <v>2</v>
      </c>
      <c r="H11" s="15" t="s">
        <v>3</v>
      </c>
      <c r="I11" s="15" t="s">
        <v>4</v>
      </c>
      <c r="J11" s="15" t="s">
        <v>37</v>
      </c>
      <c r="K11" s="15" t="s">
        <v>93</v>
      </c>
      <c r="L11" s="15" t="s">
        <v>198</v>
      </c>
      <c r="M11" s="15" t="s">
        <v>94</v>
      </c>
      <c r="N11" s="15" t="s">
        <v>95</v>
      </c>
      <c r="O11" s="15" t="s">
        <v>96</v>
      </c>
      <c r="P11" s="15" t="s">
        <v>97</v>
      </c>
      <c r="Q11" s="15" t="s">
        <v>98</v>
      </c>
      <c r="R11" s="15" t="s">
        <v>105</v>
      </c>
      <c r="S11" s="15" t="s">
        <v>99</v>
      </c>
      <c r="T11" s="15" t="s">
        <v>103</v>
      </c>
      <c r="U11" s="15" t="s">
        <v>5</v>
      </c>
      <c r="V11" s="4" t="s">
        <v>51</v>
      </c>
      <c r="W11" s="35" t="s">
        <v>20</v>
      </c>
      <c r="X11" s="35" t="s">
        <v>21</v>
      </c>
      <c r="Y11" s="35" t="s">
        <v>42</v>
      </c>
      <c r="Z11" s="35" t="s">
        <v>43</v>
      </c>
      <c r="AA11" s="35" t="s">
        <v>22</v>
      </c>
      <c r="AB11" s="35" t="s">
        <v>52</v>
      </c>
      <c r="AC11" s="35" t="s">
        <v>23</v>
      </c>
      <c r="AD11" s="35" t="s">
        <v>39</v>
      </c>
      <c r="AF11" s="35" t="s">
        <v>48</v>
      </c>
      <c r="AG11" s="35" t="s">
        <v>46</v>
      </c>
      <c r="AI11" s="14" t="s">
        <v>44</v>
      </c>
      <c r="AJ11" s="14" t="s">
        <v>0</v>
      </c>
      <c r="AK11" s="8" t="s">
        <v>1</v>
      </c>
      <c r="AL11" s="15" t="s">
        <v>36</v>
      </c>
      <c r="AM11" s="15" t="s">
        <v>2</v>
      </c>
      <c r="AN11" s="15" t="s">
        <v>3</v>
      </c>
      <c r="AO11" s="15" t="s">
        <v>4</v>
      </c>
      <c r="AP11" s="15" t="s">
        <v>37</v>
      </c>
      <c r="AQ11" s="15" t="s">
        <v>93</v>
      </c>
      <c r="AR11" s="15" t="s">
        <v>198</v>
      </c>
      <c r="AS11" s="15" t="s">
        <v>94</v>
      </c>
      <c r="AT11" s="15" t="s">
        <v>95</v>
      </c>
      <c r="AU11" s="15" t="s">
        <v>96</v>
      </c>
      <c r="AV11" s="15" t="s">
        <v>97</v>
      </c>
      <c r="AW11" s="15" t="s">
        <v>98</v>
      </c>
      <c r="AX11" s="15" t="s">
        <v>105</v>
      </c>
      <c r="AY11" s="15" t="s">
        <v>99</v>
      </c>
      <c r="AZ11" s="15" t="s">
        <v>103</v>
      </c>
      <c r="BA11" s="15" t="s">
        <v>5</v>
      </c>
      <c r="BB11" s="4" t="s">
        <v>51</v>
      </c>
      <c r="BC11" s="35" t="s">
        <v>20</v>
      </c>
      <c r="BD11" s="35" t="s">
        <v>21</v>
      </c>
      <c r="BE11" s="35" t="s">
        <v>42</v>
      </c>
      <c r="BF11" s="35" t="s">
        <v>43</v>
      </c>
      <c r="BG11" s="35" t="s">
        <v>22</v>
      </c>
      <c r="BH11" s="35" t="s">
        <v>52</v>
      </c>
      <c r="BI11" s="35" t="s">
        <v>23</v>
      </c>
      <c r="BJ11" s="35" t="s">
        <v>39</v>
      </c>
      <c r="BL11" s="35" t="s">
        <v>48</v>
      </c>
      <c r="BM11" s="35" t="s">
        <v>46</v>
      </c>
      <c r="BN11" s="20"/>
      <c r="BO11" s="14" t="s">
        <v>44</v>
      </c>
      <c r="BP11" s="14" t="s">
        <v>0</v>
      </c>
      <c r="BQ11" s="8" t="s">
        <v>1</v>
      </c>
      <c r="BR11" s="15" t="s">
        <v>36</v>
      </c>
      <c r="BS11" s="15" t="s">
        <v>2</v>
      </c>
      <c r="BT11" s="15" t="s">
        <v>3</v>
      </c>
      <c r="BU11" s="15" t="s">
        <v>4</v>
      </c>
      <c r="BV11" s="15" t="s">
        <v>37</v>
      </c>
      <c r="BW11" s="15" t="s">
        <v>93</v>
      </c>
      <c r="BX11" s="15" t="s">
        <v>198</v>
      </c>
      <c r="BY11" s="15" t="s">
        <v>94</v>
      </c>
      <c r="BZ11" s="15" t="s">
        <v>95</v>
      </c>
      <c r="CA11" s="15" t="s">
        <v>96</v>
      </c>
      <c r="CB11" s="15" t="s">
        <v>97</v>
      </c>
      <c r="CC11" s="15" t="s">
        <v>98</v>
      </c>
      <c r="CD11" s="15" t="s">
        <v>105</v>
      </c>
      <c r="CE11" s="15" t="s">
        <v>99</v>
      </c>
      <c r="CF11" s="15" t="s">
        <v>103</v>
      </c>
      <c r="CG11" s="15" t="s">
        <v>5</v>
      </c>
      <c r="CH11" s="4" t="s">
        <v>53</v>
      </c>
      <c r="CI11" s="35" t="s">
        <v>20</v>
      </c>
      <c r="CJ11" s="35" t="s">
        <v>21</v>
      </c>
      <c r="CK11" s="35" t="s">
        <v>42</v>
      </c>
      <c r="CL11" s="35" t="s">
        <v>43</v>
      </c>
      <c r="CM11" s="35" t="s">
        <v>22</v>
      </c>
      <c r="CN11" s="35" t="s">
        <v>52</v>
      </c>
      <c r="CO11" s="35" t="s">
        <v>23</v>
      </c>
      <c r="CP11" s="35" t="s">
        <v>39</v>
      </c>
      <c r="CQ11" s="12"/>
      <c r="CR11" s="35" t="s">
        <v>48</v>
      </c>
      <c r="CS11" s="35" t="s">
        <v>46</v>
      </c>
      <c r="CT11" s="12"/>
      <c r="CU11" s="12"/>
      <c r="CV11" s="31" t="s">
        <v>14</v>
      </c>
      <c r="CW11" s="31" t="s">
        <v>13</v>
      </c>
      <c r="CX11" s="31" t="s">
        <v>14</v>
      </c>
      <c r="CY11" s="31" t="s">
        <v>13</v>
      </c>
      <c r="CZ11" s="31" t="s">
        <v>14</v>
      </c>
      <c r="DA11" s="31" t="s">
        <v>13</v>
      </c>
      <c r="DC11" s="31" t="s">
        <v>40</v>
      </c>
      <c r="DD11" s="31" t="s">
        <v>15</v>
      </c>
      <c r="DE11" s="31" t="s">
        <v>16</v>
      </c>
      <c r="DF11" s="31" t="s">
        <v>33</v>
      </c>
      <c r="DG11" s="32"/>
      <c r="DH11" s="31" t="s">
        <v>17</v>
      </c>
      <c r="DI11" s="31" t="s">
        <v>19</v>
      </c>
      <c r="DJ11" s="31" t="s">
        <v>18</v>
      </c>
      <c r="DK11" s="31" t="s">
        <v>17</v>
      </c>
      <c r="DL11" s="31" t="s">
        <v>19</v>
      </c>
      <c r="DM11" s="31" t="s">
        <v>18</v>
      </c>
      <c r="DN11" s="31" t="s">
        <v>17</v>
      </c>
      <c r="DO11" s="31" t="s">
        <v>19</v>
      </c>
      <c r="DP11" s="31" t="s">
        <v>18</v>
      </c>
      <c r="DQ11" s="32"/>
    </row>
    <row r="12" spans="1:124" x14ac:dyDescent="0.25">
      <c r="C12" s="51" t="s">
        <v>7</v>
      </c>
      <c r="D12" s="16" t="s">
        <v>7</v>
      </c>
      <c r="E12" s="17" t="s">
        <v>7</v>
      </c>
      <c r="F12" s="18" t="s">
        <v>38</v>
      </c>
      <c r="G12" s="18" t="s">
        <v>41</v>
      </c>
      <c r="H12" s="18" t="s">
        <v>9</v>
      </c>
      <c r="I12" s="18" t="s">
        <v>11</v>
      </c>
      <c r="J12" s="18" t="s">
        <v>38</v>
      </c>
      <c r="K12" s="18" t="s">
        <v>100</v>
      </c>
      <c r="L12" s="18" t="s">
        <v>100</v>
      </c>
      <c r="M12" s="18" t="s">
        <v>101</v>
      </c>
      <c r="N12" s="18" t="s">
        <v>102</v>
      </c>
      <c r="O12" s="18" t="s">
        <v>104</v>
      </c>
      <c r="P12" s="18" t="s">
        <v>7</v>
      </c>
      <c r="Q12" s="18" t="s">
        <v>7</v>
      </c>
      <c r="R12" s="18"/>
      <c r="S12" s="18" t="s">
        <v>7</v>
      </c>
      <c r="T12" s="18" t="s">
        <v>38</v>
      </c>
      <c r="U12" s="18" t="s">
        <v>10</v>
      </c>
      <c r="V12" s="5" t="s">
        <v>10</v>
      </c>
      <c r="W12" s="36" t="s">
        <v>10</v>
      </c>
      <c r="X12" s="37"/>
      <c r="Y12" s="37"/>
      <c r="Z12" s="37"/>
      <c r="AA12" s="38" t="s">
        <v>10</v>
      </c>
      <c r="AB12" s="23" t="s">
        <v>10</v>
      </c>
      <c r="AC12" s="23" t="s">
        <v>10</v>
      </c>
      <c r="AD12" s="23" t="s">
        <v>38</v>
      </c>
      <c r="AF12" s="23" t="s">
        <v>47</v>
      </c>
      <c r="AG12" s="23" t="s">
        <v>47</v>
      </c>
      <c r="AI12" s="51" t="s">
        <v>7</v>
      </c>
      <c r="AJ12" s="16" t="s">
        <v>7</v>
      </c>
      <c r="AK12" s="17" t="s">
        <v>7</v>
      </c>
      <c r="AL12" s="18" t="s">
        <v>38</v>
      </c>
      <c r="AM12" s="18" t="s">
        <v>41</v>
      </c>
      <c r="AN12" s="18" t="s">
        <v>9</v>
      </c>
      <c r="AO12" s="18" t="s">
        <v>11</v>
      </c>
      <c r="AP12" s="18" t="s">
        <v>38</v>
      </c>
      <c r="AQ12" s="18" t="s">
        <v>100</v>
      </c>
      <c r="AR12" s="18" t="s">
        <v>100</v>
      </c>
      <c r="AS12" s="18" t="s">
        <v>101</v>
      </c>
      <c r="AT12" s="18" t="s">
        <v>102</v>
      </c>
      <c r="AU12" s="18" t="s">
        <v>104</v>
      </c>
      <c r="AV12" s="18" t="s">
        <v>7</v>
      </c>
      <c r="AW12" s="18" t="s">
        <v>7</v>
      </c>
      <c r="AX12" s="18"/>
      <c r="AY12" s="18" t="s">
        <v>7</v>
      </c>
      <c r="AZ12" s="18" t="s">
        <v>38</v>
      </c>
      <c r="BA12" s="18" t="s">
        <v>10</v>
      </c>
      <c r="BB12" s="5" t="s">
        <v>10</v>
      </c>
      <c r="BC12" s="36" t="s">
        <v>10</v>
      </c>
      <c r="BD12" s="37"/>
      <c r="BE12" s="37"/>
      <c r="BF12" s="37"/>
      <c r="BG12" s="38" t="s">
        <v>10</v>
      </c>
      <c r="BH12" s="23" t="s">
        <v>10</v>
      </c>
      <c r="BI12" s="23" t="s">
        <v>10</v>
      </c>
      <c r="BJ12" s="23" t="s">
        <v>38</v>
      </c>
      <c r="BL12" s="23" t="s">
        <v>47</v>
      </c>
      <c r="BM12" s="23" t="s">
        <v>47</v>
      </c>
      <c r="BN12" s="21"/>
      <c r="BO12" s="51" t="s">
        <v>7</v>
      </c>
      <c r="BP12" s="16" t="s">
        <v>7</v>
      </c>
      <c r="BQ12" s="17" t="s">
        <v>7</v>
      </c>
      <c r="BR12" s="18" t="s">
        <v>38</v>
      </c>
      <c r="BS12" s="18" t="s">
        <v>8</v>
      </c>
      <c r="BT12" s="18" t="s">
        <v>9</v>
      </c>
      <c r="BU12" s="18" t="s">
        <v>11</v>
      </c>
      <c r="BV12" s="18" t="s">
        <v>38</v>
      </c>
      <c r="BW12" s="18" t="s">
        <v>100</v>
      </c>
      <c r="BX12" s="18" t="s">
        <v>100</v>
      </c>
      <c r="BY12" s="18" t="s">
        <v>101</v>
      </c>
      <c r="BZ12" s="18" t="s">
        <v>102</v>
      </c>
      <c r="CA12" s="18" t="s">
        <v>104</v>
      </c>
      <c r="CB12" s="18" t="s">
        <v>7</v>
      </c>
      <c r="CC12" s="18" t="s">
        <v>7</v>
      </c>
      <c r="CD12" s="18"/>
      <c r="CE12" s="18" t="s">
        <v>7</v>
      </c>
      <c r="CF12" s="18" t="s">
        <v>38</v>
      </c>
      <c r="CG12" s="18" t="s">
        <v>10</v>
      </c>
      <c r="CH12" s="5" t="s">
        <v>10</v>
      </c>
      <c r="CI12" s="36" t="s">
        <v>10</v>
      </c>
      <c r="CJ12" s="37"/>
      <c r="CK12" s="37"/>
      <c r="CL12" s="37"/>
      <c r="CM12" s="38" t="s">
        <v>10</v>
      </c>
      <c r="CN12" s="23" t="s">
        <v>10</v>
      </c>
      <c r="CO12" s="23" t="s">
        <v>10</v>
      </c>
      <c r="CP12" s="23" t="s">
        <v>38</v>
      </c>
      <c r="CQ12" s="40"/>
      <c r="CR12" s="23" t="s">
        <v>47</v>
      </c>
      <c r="CS12" s="23" t="s">
        <v>47</v>
      </c>
      <c r="CT12" s="40"/>
      <c r="CU12" s="40"/>
      <c r="CV12" s="30"/>
      <c r="CW12" s="30"/>
      <c r="CX12" s="30"/>
      <c r="CY12" s="30"/>
      <c r="CZ12" s="30"/>
      <c r="DA12" s="30"/>
      <c r="DC12" s="30" t="s">
        <v>38</v>
      </c>
      <c r="DD12" s="30" t="s">
        <v>10</v>
      </c>
      <c r="DE12" s="30"/>
      <c r="DF12" s="30"/>
      <c r="DG12" s="33"/>
      <c r="DH12" s="30"/>
      <c r="DI12" s="30"/>
      <c r="DJ12" s="30" t="s">
        <v>10</v>
      </c>
      <c r="DK12" s="30"/>
      <c r="DL12" s="30"/>
      <c r="DM12" s="30" t="s">
        <v>10</v>
      </c>
      <c r="DN12" s="30"/>
      <c r="DO12" s="30"/>
      <c r="DP12" s="30" t="s">
        <v>10</v>
      </c>
      <c r="DQ12" s="33"/>
    </row>
    <row r="13" spans="1:124" x14ac:dyDescent="0.25">
      <c r="A13" s="66"/>
      <c r="B13" s="47"/>
      <c r="C13" s="11" t="s">
        <v>45</v>
      </c>
      <c r="D13" s="50" t="s">
        <v>57</v>
      </c>
      <c r="E13" s="10">
        <v>4</v>
      </c>
      <c r="F13" s="48">
        <v>7.7732757868732696</v>
      </c>
      <c r="G13" s="48">
        <v>31.1422645292234</v>
      </c>
      <c r="H13" s="48">
        <v>20.038104017160801</v>
      </c>
      <c r="I13" s="48">
        <v>69.352104772399997</v>
      </c>
      <c r="J13" s="48">
        <v>7.7820343847294504</v>
      </c>
      <c r="K13" s="48">
        <v>238.720233968</v>
      </c>
      <c r="L13" s="48">
        <f>SQRT(($E$5)*8.314*(H13+273.15)/($E$6/1000))</f>
        <v>300.46666770201131</v>
      </c>
      <c r="M13" s="48">
        <v>93.52</v>
      </c>
      <c r="N13" s="48">
        <v>44.7</v>
      </c>
      <c r="O13" s="58">
        <f>N13/2/1000</f>
        <v>2.2350000000000002E-2</v>
      </c>
      <c r="P13" s="48">
        <v>1</v>
      </c>
      <c r="Q13" s="57">
        <f>1/(1+P13*0.5*(2*PI()*M13/K13*O13)^2)</f>
        <v>0.998489020323029</v>
      </c>
      <c r="R13" s="57">
        <v>-7.7000000000000002E-3</v>
      </c>
      <c r="S13" s="57">
        <f>1/(1+R13/100*((G13)-2.06843))</f>
        <v>1.0022437082152567</v>
      </c>
      <c r="T13" s="48">
        <f>J13*S13*Q13</f>
        <v>7.7877101207754347</v>
      </c>
      <c r="U13" s="49">
        <f>(T13-F13)/F13*100</f>
        <v>0.18569177651641211</v>
      </c>
      <c r="V13" s="6">
        <v>0.35</v>
      </c>
      <c r="W13" s="190">
        <f>AVERAGE(U13:U15)</f>
        <v>0.13677365062709518</v>
      </c>
      <c r="X13" s="188">
        <f>STDEV(U13:U15)</f>
        <v>4.7146784683170823E-2</v>
      </c>
      <c r="Y13" s="188">
        <f t="shared" ref="Y13" si="0">COUNT(V13:V15)</f>
        <v>3</v>
      </c>
      <c r="Z13" s="185">
        <f>TINV(0.05,Y13-1)</f>
        <v>4.3026527297494637</v>
      </c>
      <c r="AA13" s="185">
        <f>X13*Z13/SQRT(Y13)</f>
        <v>0.11711910581923751</v>
      </c>
      <c r="AB13" s="188">
        <f>AVERAGE(V13:V15)</f>
        <v>0.34999999999999992</v>
      </c>
      <c r="AC13" s="188">
        <f>SQRT(AA13^2+AB13^2)</f>
        <v>0.36907571709325132</v>
      </c>
      <c r="AD13" s="189">
        <f>AVERAGE(F13:F15)</f>
        <v>7.7722790462822759</v>
      </c>
      <c r="AF13" s="52">
        <f>J13/I13*3600</f>
        <v>403.95780166970877</v>
      </c>
      <c r="AG13" s="187">
        <f>AVERAGE(AF13:AF15)</f>
        <v>403.66694336568725</v>
      </c>
      <c r="AI13" s="11" t="s">
        <v>45</v>
      </c>
      <c r="AJ13" s="53"/>
      <c r="AK13" s="9"/>
      <c r="AL13" s="54"/>
      <c r="AM13" s="54"/>
      <c r="AN13" s="54"/>
      <c r="AO13" s="54"/>
      <c r="AP13" s="54"/>
      <c r="AQ13" s="48"/>
      <c r="AR13" s="48"/>
      <c r="AS13" s="48"/>
      <c r="AT13" s="48"/>
      <c r="AU13" s="58"/>
      <c r="AV13" s="48"/>
      <c r="AW13" s="57"/>
      <c r="AX13" s="57"/>
      <c r="AY13" s="57"/>
      <c r="AZ13" s="48"/>
      <c r="BA13" s="49"/>
      <c r="BB13" s="6"/>
      <c r="BC13" s="190"/>
      <c r="BD13" s="188"/>
      <c r="BE13" s="188"/>
      <c r="BF13" s="185"/>
      <c r="BG13" s="185"/>
      <c r="BH13" s="188"/>
      <c r="BI13" s="188"/>
      <c r="BJ13" s="189"/>
      <c r="BL13" s="52"/>
      <c r="BM13" s="187"/>
      <c r="BO13" s="11" t="s">
        <v>45</v>
      </c>
      <c r="BP13" s="50">
        <v>45670.49359953704</v>
      </c>
      <c r="BQ13" s="10">
        <v>1.1000000000000001</v>
      </c>
      <c r="BR13" s="48">
        <v>6.715569196583596</v>
      </c>
      <c r="BS13" s="48">
        <v>29.081698236356964</v>
      </c>
      <c r="BT13" s="48">
        <v>24.1576288444816</v>
      </c>
      <c r="BU13" s="48">
        <v>61.930426035915424</v>
      </c>
      <c r="BV13" s="48">
        <v>6.7292881971309466</v>
      </c>
      <c r="BW13" s="48">
        <v>244.04289527399999</v>
      </c>
      <c r="BX13" s="48">
        <f>SQRT(($BQ$5)*8.314*(BT13+273.15)/($BQ$6/1000))</f>
        <v>298.83462378329625</v>
      </c>
      <c r="BY13" s="48">
        <v>93.52</v>
      </c>
      <c r="BZ13" s="48">
        <v>44.7</v>
      </c>
      <c r="CA13" s="58">
        <f>BZ13/2/1000</f>
        <v>2.2350000000000002E-2</v>
      </c>
      <c r="CB13" s="48">
        <v>1</v>
      </c>
      <c r="CC13" s="57">
        <f>1/(1+CB13*0.5*(2*PI()*BY13/BW13*CA13)^2)</f>
        <v>0.99855411729953603</v>
      </c>
      <c r="CD13" s="57">
        <v>-7.7000000000000002E-3</v>
      </c>
      <c r="CE13" s="57">
        <f>1/(1+CD13/100*((BS13)-2.06843))</f>
        <v>1.002084357162232</v>
      </c>
      <c r="CF13" s="48">
        <f>BV13*CE13*CC13</f>
        <v>6.7335643954928495</v>
      </c>
      <c r="CG13" s="49">
        <f>(CF13-BR13)/BR13*100</f>
        <v>0.26796237790846045</v>
      </c>
      <c r="CH13" s="55">
        <v>0.21830577467395207</v>
      </c>
      <c r="CI13" s="190">
        <f>AVERAGE(CG13:CG15)</f>
        <v>0.21226393355126091</v>
      </c>
      <c r="CJ13" s="188">
        <f>STDEV(CG13:CG15)</f>
        <v>5.0475053172000822E-2</v>
      </c>
      <c r="CK13" s="188">
        <f t="shared" ref="CK13" si="1">COUNT(CH13:CH15)</f>
        <v>3</v>
      </c>
      <c r="CL13" s="185">
        <f>TINV(0.05,CK13-1)</f>
        <v>4.3026527297494637</v>
      </c>
      <c r="CM13" s="185">
        <f>CJ13*CL13/SQRT(CK13)</f>
        <v>0.12538698308717042</v>
      </c>
      <c r="CN13" s="188">
        <f>AVERAGE(CH13:CH15)</f>
        <v>0.21839187936996041</v>
      </c>
      <c r="CO13" s="188">
        <f>SQRT(CM13^2+CN13^2)</f>
        <v>0.25182714012283441</v>
      </c>
      <c r="CP13" s="189">
        <f>AVERAGE(BR13:BR15)</f>
        <v>6.7172711210124172</v>
      </c>
      <c r="CQ13" s="39"/>
      <c r="CR13" s="52">
        <f t="shared" ref="CR13:CR30" si="2">BV13/BU13*3600</f>
        <v>391.17182070768098</v>
      </c>
      <c r="CS13" s="187">
        <f>AVERAGE(CR13:CR15)</f>
        <v>390.85154228461278</v>
      </c>
      <c r="CT13" s="39"/>
      <c r="CU13" s="39"/>
      <c r="CV13" s="188">
        <f>W13*CW13</f>
        <v>1.0040873470231715</v>
      </c>
      <c r="CW13" s="188">
        <f>1/AC13^2</f>
        <v>7.3412338006591122</v>
      </c>
      <c r="CX13" s="188"/>
      <c r="CY13" s="188"/>
      <c r="CZ13" s="188">
        <f>CI13*DA13</f>
        <v>3.347118908249445</v>
      </c>
      <c r="DA13" s="188">
        <f>1/CO13^2</f>
        <v>15.768665228476644</v>
      </c>
      <c r="DC13" s="198">
        <f>AVERAGE(AD13,BJ13,CP13)</f>
        <v>7.2447750836473466</v>
      </c>
      <c r="DD13" s="188">
        <f>SUM(CV13,CX13,CZ13)/SUM(CW13,CY13,DA13)</f>
        <v>0.18828322225842883</v>
      </c>
      <c r="DE13" s="188">
        <f>SUM(CW13,CY13,DA13)</f>
        <v>23.109899029135757</v>
      </c>
      <c r="DF13" s="188">
        <f>SQRT(DE13^-1)</f>
        <v>0.20801802849763285</v>
      </c>
      <c r="DH13" s="185">
        <f>W13-DD13</f>
        <v>-5.1509571631333656E-2</v>
      </c>
      <c r="DI13" s="185">
        <f>SQRT(AC13^2-DF13^2)</f>
        <v>0.30486945528841636</v>
      </c>
      <c r="DJ13" s="197">
        <f>ABS(DH13/DI13)</f>
        <v>0.16895615725951929</v>
      </c>
      <c r="DK13" s="185"/>
      <c r="DL13" s="185"/>
      <c r="DM13" s="197"/>
      <c r="DN13" s="196">
        <f>CI13-DD13</f>
        <v>2.398071129283208E-2</v>
      </c>
      <c r="DO13" s="185">
        <f>SQRT(CO13^2-DF13^2)</f>
        <v>0.14193452124977801</v>
      </c>
      <c r="DP13" s="197">
        <f>ABS(DN13/DO13)</f>
        <v>0.16895615725951932</v>
      </c>
    </row>
    <row r="14" spans="1:124" x14ac:dyDescent="0.25">
      <c r="A14" s="66"/>
      <c r="B14" s="47"/>
      <c r="C14" s="11" t="s">
        <v>45</v>
      </c>
      <c r="D14" s="50" t="s">
        <v>58</v>
      </c>
      <c r="E14" s="10">
        <v>5</v>
      </c>
      <c r="F14" s="48">
        <v>7.7709406170920499</v>
      </c>
      <c r="G14" s="48">
        <v>31.1537663688386</v>
      </c>
      <c r="H14" s="48">
        <v>20.0915847964209</v>
      </c>
      <c r="I14" s="48">
        <v>69.359898318264598</v>
      </c>
      <c r="J14" s="48">
        <v>7.7755954605673097</v>
      </c>
      <c r="K14" s="48">
        <v>238.74996856999999</v>
      </c>
      <c r="L14" s="48">
        <f t="shared" ref="L14:L30" si="3">SQRT(($E$5)*8.314*(H14+273.15)/($E$6/1000))</f>
        <v>300.49407068763236</v>
      </c>
      <c r="M14" s="48">
        <v>93.52</v>
      </c>
      <c r="N14" s="48">
        <v>44.7</v>
      </c>
      <c r="O14" s="58">
        <f t="shared" ref="O14:O30" si="4">N14/2/1000</f>
        <v>2.2350000000000002E-2</v>
      </c>
      <c r="P14" s="48">
        <v>1</v>
      </c>
      <c r="Q14" s="57">
        <f t="shared" ref="Q14:Q30" si="5">1/(1+P14*0.5*(2*PI()*M14/K14*O14)^2)</f>
        <v>0.99848939609452803</v>
      </c>
      <c r="R14" s="57">
        <v>-7.7000000000000002E-3</v>
      </c>
      <c r="S14" s="57">
        <f t="shared" ref="S14:S30" si="6">1/(1+R14/100*((G14)-2.06843))</f>
        <v>1.0022445978363981</v>
      </c>
      <c r="T14" s="48">
        <f t="shared" ref="T14:T30" si="7">J14*S14*Q14</f>
        <v>7.7812763357467203</v>
      </c>
      <c r="U14" s="49">
        <f t="shared" ref="U14:U30" si="8">(T14-F14)/F14*100</f>
        <v>0.13300473088080467</v>
      </c>
      <c r="V14" s="6">
        <v>0.35</v>
      </c>
      <c r="W14" s="190"/>
      <c r="X14" s="188"/>
      <c r="Y14" s="188"/>
      <c r="Z14" s="185"/>
      <c r="AA14" s="185"/>
      <c r="AB14" s="188"/>
      <c r="AC14" s="188"/>
      <c r="AD14" s="189"/>
      <c r="AF14" s="52">
        <f t="shared" ref="AF14:AF30" si="9">J14/I14*3600</f>
        <v>403.57821070610078</v>
      </c>
      <c r="AG14" s="187"/>
      <c r="AI14" s="11" t="s">
        <v>45</v>
      </c>
      <c r="AJ14" s="53"/>
      <c r="AK14" s="9"/>
      <c r="AL14" s="54"/>
      <c r="AM14" s="54"/>
      <c r="AN14" s="54"/>
      <c r="AO14" s="54"/>
      <c r="AP14" s="54"/>
      <c r="AQ14" s="48"/>
      <c r="AR14" s="48"/>
      <c r="AS14" s="48"/>
      <c r="AT14" s="48"/>
      <c r="AU14" s="58"/>
      <c r="AV14" s="48"/>
      <c r="AW14" s="57"/>
      <c r="AX14" s="57"/>
      <c r="AY14" s="57"/>
      <c r="AZ14" s="48"/>
      <c r="BA14" s="49"/>
      <c r="BB14" s="6"/>
      <c r="BC14" s="190"/>
      <c r="BD14" s="188"/>
      <c r="BE14" s="188"/>
      <c r="BF14" s="185"/>
      <c r="BG14" s="185"/>
      <c r="BH14" s="188"/>
      <c r="BI14" s="188"/>
      <c r="BJ14" s="189"/>
      <c r="BL14" s="52"/>
      <c r="BM14" s="187"/>
      <c r="BO14" s="11" t="s">
        <v>45</v>
      </c>
      <c r="BP14" s="50">
        <v>45670.495081018518</v>
      </c>
      <c r="BQ14" s="10">
        <v>1.2</v>
      </c>
      <c r="BR14" s="48">
        <v>6.7176855439753478</v>
      </c>
      <c r="BS14" s="48">
        <v>29.082244758115856</v>
      </c>
      <c r="BT14" s="48">
        <v>24.067536061821219</v>
      </c>
      <c r="BU14" s="48">
        <v>61.960637475074485</v>
      </c>
      <c r="BV14" s="48">
        <v>6.7268029737048636</v>
      </c>
      <c r="BW14" s="48">
        <v>243.97658161000001</v>
      </c>
      <c r="BX14" s="48">
        <f t="shared" ref="BX14:BX30" si="10">SQRT(($BQ$5)*8.314*(BT14+273.15)/($BQ$6/1000))</f>
        <v>298.78934259958589</v>
      </c>
      <c r="BY14" s="48">
        <v>93.52</v>
      </c>
      <c r="BZ14" s="48">
        <v>44.7</v>
      </c>
      <c r="CA14" s="58">
        <f t="shared" ref="CA14:CA30" si="11">BZ14/2/1000</f>
        <v>2.2350000000000002E-2</v>
      </c>
      <c r="CB14" s="48">
        <v>1</v>
      </c>
      <c r="CC14" s="57">
        <f t="shared" ref="CC14:CC30" si="12">1/(1+CB14*0.5*(2*PI()*BY14/BW14*CA14)^2)</f>
        <v>0.99855333233827859</v>
      </c>
      <c r="CD14" s="57">
        <v>-7.7000000000000002E-3</v>
      </c>
      <c r="CE14" s="57">
        <f t="shared" ref="CE14:CE30" si="13">1/(1+CD14/100*((BS14)-2.06843))</f>
        <v>1.0020843994200206</v>
      </c>
      <c r="CF14" s="48">
        <f>BV14*CE14*CC14</f>
        <v>6.7310725853677642</v>
      </c>
      <c r="CG14" s="49">
        <f t="shared" ref="CG14:CG30" si="14">(CF14-BR14)/BR14*100</f>
        <v>0.19928056031771807</v>
      </c>
      <c r="CH14" s="55">
        <v>0.21814165855197312</v>
      </c>
      <c r="CI14" s="190"/>
      <c r="CJ14" s="188"/>
      <c r="CK14" s="188"/>
      <c r="CL14" s="185"/>
      <c r="CM14" s="185"/>
      <c r="CN14" s="188"/>
      <c r="CO14" s="188"/>
      <c r="CP14" s="189"/>
      <c r="CQ14" s="34"/>
      <c r="CR14" s="52">
        <f t="shared" si="2"/>
        <v>390.83669394265536</v>
      </c>
      <c r="CS14" s="187"/>
      <c r="CT14" s="34"/>
      <c r="CU14" s="34"/>
      <c r="CV14" s="188"/>
      <c r="CW14" s="188"/>
      <c r="CX14" s="188"/>
      <c r="CY14" s="188"/>
      <c r="CZ14" s="188"/>
      <c r="DA14" s="188"/>
      <c r="DC14" s="198"/>
      <c r="DD14" s="188"/>
      <c r="DE14" s="188"/>
      <c r="DF14" s="188"/>
      <c r="DH14" s="185"/>
      <c r="DI14" s="185"/>
      <c r="DJ14" s="197"/>
      <c r="DK14" s="185"/>
      <c r="DL14" s="185"/>
      <c r="DM14" s="197"/>
      <c r="DN14" s="196"/>
      <c r="DO14" s="185"/>
      <c r="DP14" s="197"/>
    </row>
    <row r="15" spans="1:124" x14ac:dyDescent="0.25">
      <c r="A15" s="66"/>
      <c r="B15" s="47"/>
      <c r="C15" s="11" t="s">
        <v>45</v>
      </c>
      <c r="D15" s="50" t="s">
        <v>59</v>
      </c>
      <c r="E15" s="10">
        <v>6</v>
      </c>
      <c r="F15" s="48">
        <v>7.7726207348815102</v>
      </c>
      <c r="G15" s="48">
        <v>31.1576639126625</v>
      </c>
      <c r="H15" s="48">
        <v>20.102981848275601</v>
      </c>
      <c r="I15" s="48">
        <v>69.365696103896397</v>
      </c>
      <c r="J15" s="48">
        <v>7.7740605374073102</v>
      </c>
      <c r="K15" s="48">
        <v>238.747167709</v>
      </c>
      <c r="L15" s="48">
        <f t="shared" si="3"/>
        <v>300.49991009344575</v>
      </c>
      <c r="M15" s="48">
        <v>93.52</v>
      </c>
      <c r="N15" s="48">
        <v>44.7</v>
      </c>
      <c r="O15" s="58">
        <f t="shared" si="4"/>
        <v>2.2350000000000002E-2</v>
      </c>
      <c r="P15" s="48">
        <v>1</v>
      </c>
      <c r="Q15" s="57">
        <f t="shared" si="5"/>
        <v>0.99848936070458072</v>
      </c>
      <c r="R15" s="57">
        <v>-7.7000000000000002E-3</v>
      </c>
      <c r="S15" s="57">
        <f t="shared" si="6"/>
        <v>1.0022448992961317</v>
      </c>
      <c r="T15" s="48">
        <f t="shared" si="7"/>
        <v>7.7797423554516989</v>
      </c>
      <c r="U15" s="49">
        <f t="shared" si="8"/>
        <v>9.1624444484068743E-2</v>
      </c>
      <c r="V15" s="6">
        <v>0.35</v>
      </c>
      <c r="W15" s="190"/>
      <c r="X15" s="188"/>
      <c r="Y15" s="188"/>
      <c r="Z15" s="185"/>
      <c r="AA15" s="185"/>
      <c r="AB15" s="188"/>
      <c r="AC15" s="188"/>
      <c r="AD15" s="189"/>
      <c r="AF15" s="52">
        <f t="shared" si="9"/>
        <v>403.46481772125196</v>
      </c>
      <c r="AG15" s="187"/>
      <c r="AI15" s="11" t="s">
        <v>45</v>
      </c>
      <c r="AJ15" s="53"/>
      <c r="AK15" s="9"/>
      <c r="AL15" s="54"/>
      <c r="AM15" s="54"/>
      <c r="AN15" s="54"/>
      <c r="AO15" s="54"/>
      <c r="AP15" s="54"/>
      <c r="AQ15" s="48"/>
      <c r="AR15" s="48"/>
      <c r="AS15" s="48"/>
      <c r="AT15" s="48"/>
      <c r="AU15" s="58"/>
      <c r="AV15" s="48"/>
      <c r="AW15" s="57"/>
      <c r="AX15" s="57"/>
      <c r="AY15" s="57"/>
      <c r="AZ15" s="48"/>
      <c r="BA15" s="49"/>
      <c r="BB15" s="6"/>
      <c r="BC15" s="190"/>
      <c r="BD15" s="188"/>
      <c r="BE15" s="188"/>
      <c r="BF15" s="185"/>
      <c r="BG15" s="185"/>
      <c r="BH15" s="188"/>
      <c r="BI15" s="188"/>
      <c r="BJ15" s="189"/>
      <c r="BL15" s="52"/>
      <c r="BM15" s="187"/>
      <c r="BO15" s="11" t="s">
        <v>45</v>
      </c>
      <c r="BP15" s="50">
        <v>45670.499537037038</v>
      </c>
      <c r="BQ15" s="10">
        <v>1.3</v>
      </c>
      <c r="BR15" s="48">
        <v>6.7185586224783087</v>
      </c>
      <c r="BS15" s="48">
        <v>29.078916329260441</v>
      </c>
      <c r="BT15" s="48">
        <v>23.96225506270903</v>
      </c>
      <c r="BU15" s="48">
        <v>61.996471698584358</v>
      </c>
      <c r="BV15" s="48">
        <v>6.7256891645045984</v>
      </c>
      <c r="BW15" s="48">
        <v>243.89544762899999</v>
      </c>
      <c r="BX15" s="48">
        <f t="shared" si="10"/>
        <v>298.73641902868934</v>
      </c>
      <c r="BY15" s="48">
        <v>93.52</v>
      </c>
      <c r="BZ15" s="48">
        <v>44.7</v>
      </c>
      <c r="CA15" s="58">
        <f t="shared" si="11"/>
        <v>2.2350000000000002E-2</v>
      </c>
      <c r="CB15" s="48">
        <v>1</v>
      </c>
      <c r="CC15" s="57">
        <f t="shared" si="12"/>
        <v>0.99855237107812933</v>
      </c>
      <c r="CD15" s="57">
        <v>-7.7000000000000002E-3</v>
      </c>
      <c r="CE15" s="57">
        <f t="shared" si="13"/>
        <v>1.0020841420615338</v>
      </c>
      <c r="CF15" s="48">
        <f>BV15*CE15*CC15</f>
        <v>6.7299498621942524</v>
      </c>
      <c r="CG15" s="49">
        <f t="shared" si="14"/>
        <v>0.16954886242760425</v>
      </c>
      <c r="CH15" s="55">
        <v>0.21872820488395603</v>
      </c>
      <c r="CI15" s="190"/>
      <c r="CJ15" s="188"/>
      <c r="CK15" s="188"/>
      <c r="CL15" s="185"/>
      <c r="CM15" s="185"/>
      <c r="CN15" s="188"/>
      <c r="CO15" s="188"/>
      <c r="CP15" s="189"/>
      <c r="CQ15" s="34"/>
      <c r="CR15" s="52">
        <f t="shared" si="2"/>
        <v>390.54611220350188</v>
      </c>
      <c r="CS15" s="187"/>
      <c r="CT15" s="34"/>
      <c r="CU15" s="34"/>
      <c r="CV15" s="188"/>
      <c r="CW15" s="188"/>
      <c r="CX15" s="188"/>
      <c r="CY15" s="188"/>
      <c r="CZ15" s="188"/>
      <c r="DA15" s="188"/>
      <c r="DC15" s="198"/>
      <c r="DD15" s="188"/>
      <c r="DE15" s="188"/>
      <c r="DF15" s="188"/>
      <c r="DH15" s="185"/>
      <c r="DI15" s="185"/>
      <c r="DJ15" s="197"/>
      <c r="DK15" s="185"/>
      <c r="DL15" s="185"/>
      <c r="DM15" s="197"/>
      <c r="DN15" s="196"/>
      <c r="DO15" s="185"/>
      <c r="DP15" s="197"/>
    </row>
    <row r="16" spans="1:124" x14ac:dyDescent="0.25">
      <c r="A16" s="66"/>
      <c r="B16" s="47"/>
      <c r="C16" s="11" t="s">
        <v>45</v>
      </c>
      <c r="D16" s="50" t="s">
        <v>60</v>
      </c>
      <c r="E16" s="10">
        <v>7</v>
      </c>
      <c r="F16" s="48">
        <v>5.43888340654396</v>
      </c>
      <c r="G16" s="48">
        <v>31.3239050080828</v>
      </c>
      <c r="H16" s="48">
        <v>20.2379252041919</v>
      </c>
      <c r="I16" s="48">
        <v>69.775848762266804</v>
      </c>
      <c r="J16" s="48">
        <v>5.4423665382321502</v>
      </c>
      <c r="K16" s="48">
        <v>238.686279055</v>
      </c>
      <c r="L16" s="48">
        <f t="shared" si="3"/>
        <v>300.56904119351196</v>
      </c>
      <c r="M16" s="48">
        <v>93.52</v>
      </c>
      <c r="N16" s="48">
        <v>44.7</v>
      </c>
      <c r="O16" s="58">
        <f t="shared" si="4"/>
        <v>2.2350000000000002E-2</v>
      </c>
      <c r="P16" s="48">
        <v>1</v>
      </c>
      <c r="Q16" s="57">
        <f t="shared" si="5"/>
        <v>0.99848859104586785</v>
      </c>
      <c r="R16" s="57">
        <v>-7.7000000000000002E-3</v>
      </c>
      <c r="S16" s="57">
        <f t="shared" si="6"/>
        <v>1.0022577575619067</v>
      </c>
      <c r="T16" s="48">
        <f t="shared" si="7"/>
        <v>5.4464098694166205</v>
      </c>
      <c r="U16" s="49">
        <f t="shared" si="8"/>
        <v>0.13838250078324663</v>
      </c>
      <c r="V16" s="6">
        <v>0.35</v>
      </c>
      <c r="W16" s="190">
        <f t="shared" ref="W16" si="15">AVERAGE(U16:U18)</f>
        <v>0.14193107362070129</v>
      </c>
      <c r="X16" s="188">
        <f t="shared" ref="X16" si="16">STDEV(U16:U18)</f>
        <v>3.8757539681974033E-2</v>
      </c>
      <c r="Y16" s="188">
        <f t="shared" ref="Y16" si="17">COUNT(V16:V18)</f>
        <v>3</v>
      </c>
      <c r="Z16" s="185">
        <f t="shared" ref="Z16" si="18">TINV(0.05,Y16-1)</f>
        <v>4.3026527297494637</v>
      </c>
      <c r="AA16" s="185">
        <f t="shared" ref="AA16" si="19">X16*Z16/SQRT(Y16)</f>
        <v>9.627906593865164E-2</v>
      </c>
      <c r="AB16" s="188">
        <f t="shared" ref="AB16" si="20">AVERAGE(V16:V18)</f>
        <v>0.34999999999999992</v>
      </c>
      <c r="AC16" s="188">
        <f t="shared" ref="AC16" si="21">SQRT(AA16^2+AB16^2)</f>
        <v>0.36300090707602806</v>
      </c>
      <c r="AD16" s="189">
        <f t="shared" ref="AD16" si="22">AVERAGE(F16:F18)</f>
        <v>5.4358181354638093</v>
      </c>
      <c r="AF16" s="52">
        <f t="shared" si="9"/>
        <v>280.79227820487552</v>
      </c>
      <c r="AG16" s="187">
        <f t="shared" ref="AG16" si="23">AVERAGE(AF16:AF18)</f>
        <v>280.72494616938565</v>
      </c>
      <c r="AI16" s="11" t="s">
        <v>45</v>
      </c>
      <c r="AJ16" s="177">
        <v>45805</v>
      </c>
      <c r="AK16" s="9"/>
      <c r="AL16" s="54">
        <v>5.3233945485096301</v>
      </c>
      <c r="AM16" s="54">
        <v>31.158694130852275</v>
      </c>
      <c r="AN16" s="54">
        <v>22.133493752272724</v>
      </c>
      <c r="AO16" s="54">
        <v>68.442645726699993</v>
      </c>
      <c r="AP16" s="54">
        <v>5.324606060606059</v>
      </c>
      <c r="AQ16" s="48">
        <v>240.37763865100001</v>
      </c>
      <c r="AR16" s="48">
        <f>SQRT(($AK$5)*8.314*(AN16+273.15)/($AK$6/1000))</f>
        <v>299.68282168685727</v>
      </c>
      <c r="AS16" s="48">
        <v>93.52</v>
      </c>
      <c r="AT16" s="48">
        <v>44.7</v>
      </c>
      <c r="AU16" s="58">
        <f t="shared" ref="AU16:AU24" si="24">AT16/2/1000</f>
        <v>2.2350000000000002E-2</v>
      </c>
      <c r="AV16" s="48">
        <v>1</v>
      </c>
      <c r="AW16" s="57">
        <f>1/(1+AV16*0.5*(2*PI()*AS16/AQ16*AU16)^2)</f>
        <v>0.99850975396570174</v>
      </c>
      <c r="AX16" s="57">
        <v>-7.7000000000000002E-3</v>
      </c>
      <c r="AY16" s="57">
        <f t="shared" ref="AY16:AY19" si="25">1/(1+AX16/100*((AM16)-2.06843))</f>
        <v>1.0022449789794998</v>
      </c>
      <c r="AZ16" s="48">
        <f t="shared" ref="AZ16:AZ21" si="26">AP16*AY16*AW16</f>
        <v>5.3286069023724822</v>
      </c>
      <c r="BA16" s="49">
        <f>(AZ16-AL16)/AL16*100</f>
        <v>9.7914100023102899E-2</v>
      </c>
      <c r="BB16" s="6">
        <v>0.27</v>
      </c>
      <c r="BC16" s="190">
        <f t="shared" ref="BC16" si="27">AVERAGE(BA16:BA18)</f>
        <v>0.10804760150548672</v>
      </c>
      <c r="BD16" s="188">
        <f t="shared" ref="BD16" si="28">STDEV(BA16:BA18)</f>
        <v>1.4552997839226325E-2</v>
      </c>
      <c r="BE16" s="188">
        <f t="shared" ref="BE16" si="29">COUNT(BB16:BB18)</f>
        <v>3</v>
      </c>
      <c r="BF16" s="185">
        <f t="shared" ref="BF16" si="30">TINV(0.05,BE16-1)</f>
        <v>4.3026527297494637</v>
      </c>
      <c r="BG16" s="185">
        <f>BD16*BF16/SQRT(BE16)</f>
        <v>3.61516507514432E-2</v>
      </c>
      <c r="BH16" s="188">
        <f t="shared" ref="BH16" si="31">AVERAGE(BB16:BB18)</f>
        <v>0.27</v>
      </c>
      <c r="BI16" s="188">
        <f t="shared" ref="BI16" si="32">SQRT(BG16^2+BH16^2)</f>
        <v>0.27240951130981883</v>
      </c>
      <c r="BJ16" s="189">
        <f>AVERAGE(AL16:AL18)</f>
        <v>5.3242862678161451</v>
      </c>
      <c r="BL16" s="52">
        <f t="shared" ref="BL16:BL24" si="33">AP16/AO16*3600</f>
        <v>280.0678088150529</v>
      </c>
      <c r="BM16" s="187">
        <f t="shared" ref="BM16" si="34">AVERAGE(BL16:BL18)</f>
        <v>280.16384682453167</v>
      </c>
      <c r="BO16" s="11" t="s">
        <v>45</v>
      </c>
      <c r="BP16" s="50">
        <v>45670.505312499998</v>
      </c>
      <c r="BQ16" s="10">
        <v>2.1</v>
      </c>
      <c r="BR16" s="48">
        <v>5.4119357665065175</v>
      </c>
      <c r="BS16" s="48">
        <v>30.371570690499539</v>
      </c>
      <c r="BT16" s="48">
        <v>25.419695030100335</v>
      </c>
      <c r="BU16" s="48">
        <v>64.827683686424066</v>
      </c>
      <c r="BV16" s="48">
        <v>5.4052187050884895</v>
      </c>
      <c r="BW16" s="48">
        <v>243.71338076000001</v>
      </c>
      <c r="BX16" s="48">
        <f t="shared" si="10"/>
        <v>299.4682262147993</v>
      </c>
      <c r="BY16" s="48">
        <v>93.52</v>
      </c>
      <c r="BZ16" s="48">
        <v>44.7</v>
      </c>
      <c r="CA16" s="58">
        <f t="shared" si="11"/>
        <v>2.2350000000000002E-2</v>
      </c>
      <c r="CB16" s="48">
        <v>1</v>
      </c>
      <c r="CC16" s="57">
        <f t="shared" si="12"/>
        <v>0.99855021049543002</v>
      </c>
      <c r="CD16" s="57">
        <v>-7.7000000000000002E-3</v>
      </c>
      <c r="CE16" s="57">
        <f t="shared" si="13"/>
        <v>1.0021841017374529</v>
      </c>
      <c r="CF16" s="48">
        <f t="shared" ref="CF16:CF30" si="35">BV16*CE16*CC16</f>
        <v>5.4091707077460871</v>
      </c>
      <c r="CG16" s="49">
        <f t="shared" si="14"/>
        <v>-5.1091862130790089E-2</v>
      </c>
      <c r="CH16" s="55">
        <v>0.21619787190068707</v>
      </c>
      <c r="CI16" s="190">
        <f t="shared" ref="CI16" si="36">AVERAGE(CG16:CG18)</f>
        <v>1.2678959556414406E-2</v>
      </c>
      <c r="CJ16" s="188">
        <f t="shared" ref="CJ16" si="37">STDEV(CG16:CG18)</f>
        <v>5.5313687526897859E-2</v>
      </c>
      <c r="CK16" s="188">
        <f t="shared" ref="CK16" si="38">COUNT(CH16:CH18)</f>
        <v>3</v>
      </c>
      <c r="CL16" s="185">
        <f t="shared" ref="CL16" si="39">TINV(0.05,CK16-1)</f>
        <v>4.3026527297494637</v>
      </c>
      <c r="CM16" s="185">
        <f t="shared" ref="CM16" si="40">CJ16*CL16/SQRT(CK16)</f>
        <v>0.13740681716154088</v>
      </c>
      <c r="CN16" s="188">
        <f t="shared" ref="CN16" si="41">AVERAGE(CH16:CH18)</f>
        <v>0.21611631616670016</v>
      </c>
      <c r="CO16" s="188">
        <f t="shared" ref="CO16" si="42">SQRT(CM16^2+CN16^2)</f>
        <v>0.25609938601240384</v>
      </c>
      <c r="CP16" s="189">
        <f>AVERAGE(BR16:BR18)</f>
        <v>5.4108703101817675</v>
      </c>
      <c r="CQ16" s="34"/>
      <c r="CR16" s="52">
        <f t="shared" si="2"/>
        <v>300.16169376715732</v>
      </c>
      <c r="CS16" s="187">
        <f t="shared" ref="CS16" si="43">AVERAGE(CR16:CR18)</f>
        <v>300.31364749099117</v>
      </c>
      <c r="CT16" s="34"/>
      <c r="CU16" s="34"/>
      <c r="CV16" s="188">
        <f>W16*CW16</f>
        <v>1.0771149837938623</v>
      </c>
      <c r="CW16" s="188">
        <f>1/AC16^2</f>
        <v>7.5890004656229149</v>
      </c>
      <c r="CX16" s="188">
        <f t="shared" ref="CX16" si="44">BC16*CY16</f>
        <v>1.4560309158259102</v>
      </c>
      <c r="CY16" s="188">
        <f t="shared" ref="CY16" si="45">1/BI16^2</f>
        <v>13.475828204774839</v>
      </c>
      <c r="CZ16" s="188">
        <f t="shared" ref="CZ16" si="46">CI16*DA16</f>
        <v>0.19331543987068039</v>
      </c>
      <c r="DA16" s="188">
        <f t="shared" ref="DA16" si="47">1/CO16^2</f>
        <v>15.246948222409959</v>
      </c>
      <c r="DC16" s="198">
        <f>AVERAGE(AD16,BJ16,CP16)</f>
        <v>5.3903249044872403</v>
      </c>
      <c r="DD16" s="188">
        <f t="shared" ref="DD16" si="48">SUM(CV16,CX16,CZ16)/SUM(CW16,CY16,DA16)</f>
        <v>7.508476788505726E-2</v>
      </c>
      <c r="DE16" s="188">
        <f t="shared" ref="DE16" si="49">SUM(CW16,CY16,DA16)</f>
        <v>36.311776892807714</v>
      </c>
      <c r="DF16" s="188">
        <f t="shared" ref="DF16" si="50">SQRT(DE16^-1)</f>
        <v>0.16594961505200079</v>
      </c>
      <c r="DH16" s="185">
        <f>W16-DD16</f>
        <v>6.6846305735644027E-2</v>
      </c>
      <c r="DI16" s="185">
        <f>SQRT(AC16^2-DF16^2)</f>
        <v>0.32284730725547628</v>
      </c>
      <c r="DJ16" s="197">
        <f t="shared" ref="DJ16" si="51">ABS(DH16/DI16)</f>
        <v>0.20705238740847559</v>
      </c>
      <c r="DK16" s="185">
        <f t="shared" ref="DK16" si="52">BC16-DD16</f>
        <v>3.2962833620429455E-2</v>
      </c>
      <c r="DL16" s="185">
        <f t="shared" ref="DL16" si="53">SQRT(BI16^2-DF16^2)</f>
        <v>0.2160270055251127</v>
      </c>
      <c r="DM16" s="197">
        <f t="shared" ref="DM16" si="54">ABS(DK16/DL16)</f>
        <v>0.15258663397339733</v>
      </c>
      <c r="DN16" s="196">
        <f t="shared" ref="DN16" si="55">CI16-DD16</f>
        <v>-6.2405808328642856E-2</v>
      </c>
      <c r="DO16" s="185">
        <f t="shared" ref="DO16" si="56">SQRT(CO16^2-DF16^2)</f>
        <v>0.19505799337638788</v>
      </c>
      <c r="DP16" s="197">
        <f t="shared" ref="DP16" si="57">ABS(DN16/DO16)</f>
        <v>0.31993463712211651</v>
      </c>
    </row>
    <row r="17" spans="1:120" x14ac:dyDescent="0.25">
      <c r="A17" s="66"/>
      <c r="B17" s="47"/>
      <c r="C17" s="11" t="s">
        <v>45</v>
      </c>
      <c r="D17" s="50" t="s">
        <v>61</v>
      </c>
      <c r="E17" s="10">
        <v>8</v>
      </c>
      <c r="F17" s="48">
        <v>5.4366811983390599</v>
      </c>
      <c r="G17" s="48">
        <v>31.303834206060699</v>
      </c>
      <c r="H17" s="48">
        <v>20.170970148937599</v>
      </c>
      <c r="I17" s="48">
        <v>69.750094496726405</v>
      </c>
      <c r="J17" s="48">
        <v>5.4383640119196004</v>
      </c>
      <c r="K17" s="48">
        <v>238.65105429400001</v>
      </c>
      <c r="L17" s="48">
        <f t="shared" si="3"/>
        <v>300.53474229546651</v>
      </c>
      <c r="M17" s="48">
        <v>93.52</v>
      </c>
      <c r="N17" s="48">
        <v>44.7</v>
      </c>
      <c r="O17" s="58">
        <f t="shared" si="4"/>
        <v>2.2350000000000002E-2</v>
      </c>
      <c r="P17" s="48">
        <v>1</v>
      </c>
      <c r="Q17" s="57">
        <f t="shared" si="5"/>
        <v>0.99848814552131093</v>
      </c>
      <c r="R17" s="57">
        <v>-7.7000000000000002E-3</v>
      </c>
      <c r="S17" s="57">
        <f t="shared" si="6"/>
        <v>1.002256205126167</v>
      </c>
      <c r="T17" s="48">
        <f t="shared" si="7"/>
        <v>5.4423935111407289</v>
      </c>
      <c r="U17" s="49">
        <f t="shared" si="8"/>
        <v>0.10506985039722574</v>
      </c>
      <c r="V17" s="6">
        <v>0.35</v>
      </c>
      <c r="W17" s="190"/>
      <c r="X17" s="188"/>
      <c r="Y17" s="188"/>
      <c r="Z17" s="185"/>
      <c r="AA17" s="185"/>
      <c r="AB17" s="188"/>
      <c r="AC17" s="188"/>
      <c r="AD17" s="189"/>
      <c r="AF17" s="52">
        <f t="shared" si="9"/>
        <v>280.68937517825765</v>
      </c>
      <c r="AG17" s="187"/>
      <c r="AI17" s="11" t="s">
        <v>45</v>
      </c>
      <c r="AJ17" s="177">
        <v>45805</v>
      </c>
      <c r="AK17" s="9"/>
      <c r="AL17" s="54">
        <v>5.3253136828810499</v>
      </c>
      <c r="AM17" s="54">
        <v>31.144955698806818</v>
      </c>
      <c r="AN17" s="54">
        <v>22.006400513636365</v>
      </c>
      <c r="AO17" s="54">
        <v>68.441021454199998</v>
      </c>
      <c r="AP17" s="54">
        <v>5.3267272727272728</v>
      </c>
      <c r="AQ17" s="48">
        <v>240.30343859800001</v>
      </c>
      <c r="AR17" s="48">
        <f t="shared" ref="AR17:AR24" si="58">SQRT(($AK$5)*8.314*(AN17+273.15)/($AK$6/1000))</f>
        <v>299.61832136700156</v>
      </c>
      <c r="AS17" s="48">
        <v>93.52</v>
      </c>
      <c r="AT17" s="48">
        <v>44.7</v>
      </c>
      <c r="AU17" s="58">
        <f t="shared" si="24"/>
        <v>2.2350000000000002E-2</v>
      </c>
      <c r="AV17" s="48">
        <v>1</v>
      </c>
      <c r="AW17" s="57">
        <f t="shared" ref="AW17:AW21" si="59">1/(1+AV17*0.5*(2*PI()*AS17/AQ17*AU17)^2)</f>
        <v>0.99850883489026909</v>
      </c>
      <c r="AX17" s="57">
        <v>-7.7000000000000002E-3</v>
      </c>
      <c r="AY17" s="57">
        <f t="shared" si="25"/>
        <v>1.0022439163662837</v>
      </c>
      <c r="AZ17" s="48">
        <f t="shared" si="26"/>
        <v>5.3307191498804354</v>
      </c>
      <c r="BA17" s="49">
        <f t="shared" ref="BA17:BA21" si="60">(AZ17-AL17)/AL17*100</f>
        <v>0.10150513793698393</v>
      </c>
      <c r="BB17" s="6">
        <v>0.27</v>
      </c>
      <c r="BC17" s="190"/>
      <c r="BD17" s="188"/>
      <c r="BE17" s="188"/>
      <c r="BF17" s="185"/>
      <c r="BG17" s="185"/>
      <c r="BH17" s="188"/>
      <c r="BI17" s="188"/>
      <c r="BJ17" s="189"/>
      <c r="BL17" s="52">
        <f t="shared" si="33"/>
        <v>280.18603133576408</v>
      </c>
      <c r="BM17" s="187"/>
      <c r="BO17" s="11" t="s">
        <v>45</v>
      </c>
      <c r="BP17" s="50">
        <v>45670.507175925923</v>
      </c>
      <c r="BQ17" s="10">
        <v>2.2000000000000002</v>
      </c>
      <c r="BR17" s="48">
        <v>5.4102299156717546</v>
      </c>
      <c r="BS17" s="48">
        <v>30.36681168030989</v>
      </c>
      <c r="BT17" s="48">
        <v>25.395991656354514</v>
      </c>
      <c r="BU17" s="48">
        <v>64.822063037281808</v>
      </c>
      <c r="BV17" s="48">
        <v>5.4088565719100705</v>
      </c>
      <c r="BW17" s="48">
        <v>243.69839114600001</v>
      </c>
      <c r="BX17" s="48">
        <f t="shared" si="10"/>
        <v>299.45633862490001</v>
      </c>
      <c r="BY17" s="48">
        <v>93.52</v>
      </c>
      <c r="BZ17" s="48">
        <v>44.7</v>
      </c>
      <c r="CA17" s="58">
        <f t="shared" si="11"/>
        <v>2.2350000000000002E-2</v>
      </c>
      <c r="CB17" s="48">
        <v>1</v>
      </c>
      <c r="CC17" s="57">
        <f t="shared" si="12"/>
        <v>0.9985500323987101</v>
      </c>
      <c r="CD17" s="57">
        <v>-7.7000000000000002E-3</v>
      </c>
      <c r="CE17" s="57">
        <f t="shared" si="13"/>
        <v>1.0021837336913542</v>
      </c>
      <c r="CF17" s="48">
        <f t="shared" si="35"/>
        <v>5.4128082811528619</v>
      </c>
      <c r="CG17" s="49">
        <f t="shared" si="14"/>
        <v>4.7657225687186125E-2</v>
      </c>
      <c r="CH17" s="55">
        <v>0.21609696637634807</v>
      </c>
      <c r="CI17" s="190"/>
      <c r="CJ17" s="188"/>
      <c r="CK17" s="188"/>
      <c r="CL17" s="185"/>
      <c r="CM17" s="185"/>
      <c r="CN17" s="188"/>
      <c r="CO17" s="188"/>
      <c r="CP17" s="189"/>
      <c r="CQ17" s="34"/>
      <c r="CR17" s="52">
        <f t="shared" si="2"/>
        <v>300.38975537815236</v>
      </c>
      <c r="CS17" s="187"/>
      <c r="CT17" s="34"/>
      <c r="CU17" s="34"/>
      <c r="CV17" s="188"/>
      <c r="CW17" s="188"/>
      <c r="CX17" s="188"/>
      <c r="CY17" s="188"/>
      <c r="CZ17" s="188"/>
      <c r="DA17" s="188"/>
      <c r="DC17" s="198"/>
      <c r="DD17" s="188"/>
      <c r="DE17" s="188"/>
      <c r="DF17" s="188"/>
      <c r="DH17" s="185"/>
      <c r="DI17" s="185"/>
      <c r="DJ17" s="197"/>
      <c r="DK17" s="185"/>
      <c r="DL17" s="185"/>
      <c r="DM17" s="197"/>
      <c r="DN17" s="196"/>
      <c r="DO17" s="185"/>
      <c r="DP17" s="197"/>
    </row>
    <row r="18" spans="1:120" x14ac:dyDescent="0.25">
      <c r="A18" s="66"/>
      <c r="B18" s="47"/>
      <c r="C18" s="11" t="s">
        <v>45</v>
      </c>
      <c r="D18" s="50" t="s">
        <v>62</v>
      </c>
      <c r="E18" s="10">
        <v>9</v>
      </c>
      <c r="F18" s="48">
        <v>5.4318898015084098</v>
      </c>
      <c r="G18" s="48">
        <v>31.266206594997101</v>
      </c>
      <c r="H18" s="48">
        <v>19.962263939689201</v>
      </c>
      <c r="I18" s="48">
        <v>69.741794144546006</v>
      </c>
      <c r="J18" s="48">
        <v>5.4377906485462102</v>
      </c>
      <c r="K18" s="48">
        <v>238.51245988100001</v>
      </c>
      <c r="L18" s="48">
        <f t="shared" si="3"/>
        <v>300.42780376302255</v>
      </c>
      <c r="M18" s="48">
        <v>93.52</v>
      </c>
      <c r="N18" s="48">
        <v>44.7</v>
      </c>
      <c r="O18" s="58">
        <f t="shared" si="4"/>
        <v>2.2350000000000002E-2</v>
      </c>
      <c r="P18" s="48">
        <v>1</v>
      </c>
      <c r="Q18" s="57">
        <f t="shared" si="5"/>
        <v>0.99848639065939326</v>
      </c>
      <c r="R18" s="57">
        <v>-7.7000000000000002E-3</v>
      </c>
      <c r="S18" s="57">
        <f t="shared" si="6"/>
        <v>1.0022532947198939</v>
      </c>
      <c r="T18" s="48">
        <f t="shared" si="7"/>
        <v>5.4417943566126281</v>
      </c>
      <c r="U18" s="49">
        <f t="shared" si="8"/>
        <v>0.18234086968163149</v>
      </c>
      <c r="V18" s="6">
        <v>0.35</v>
      </c>
      <c r="W18" s="190"/>
      <c r="X18" s="188"/>
      <c r="Y18" s="188"/>
      <c r="Z18" s="185"/>
      <c r="AA18" s="185"/>
      <c r="AB18" s="188"/>
      <c r="AC18" s="188"/>
      <c r="AD18" s="189"/>
      <c r="AF18" s="52">
        <f t="shared" si="9"/>
        <v>280.69318512502383</v>
      </c>
      <c r="AG18" s="187"/>
      <c r="AI18" s="11" t="s">
        <v>45</v>
      </c>
      <c r="AJ18" s="177">
        <v>45805</v>
      </c>
      <c r="AK18" s="9"/>
      <c r="AL18" s="54">
        <v>5.3241505720577553</v>
      </c>
      <c r="AM18" s="54">
        <v>31.113930533352271</v>
      </c>
      <c r="AN18" s="54">
        <v>21.845462868181819</v>
      </c>
      <c r="AO18" s="54">
        <v>68.429570441300001</v>
      </c>
      <c r="AP18" s="54">
        <v>5.3268181818181812</v>
      </c>
      <c r="AQ18" s="48">
        <v>240.207952046</v>
      </c>
      <c r="AR18" s="48">
        <f t="shared" si="58"/>
        <v>299.53662494774215</v>
      </c>
      <c r="AS18" s="48">
        <v>93.52</v>
      </c>
      <c r="AT18" s="48">
        <v>44.7</v>
      </c>
      <c r="AU18" s="58">
        <f t="shared" si="24"/>
        <v>2.2350000000000002E-2</v>
      </c>
      <c r="AV18" s="48">
        <v>1</v>
      </c>
      <c r="AW18" s="57">
        <f t="shared" si="59"/>
        <v>0.99850765089963234</v>
      </c>
      <c r="AX18" s="57">
        <v>-7.7000000000000002E-3</v>
      </c>
      <c r="AY18" s="57">
        <f t="shared" si="25"/>
        <v>1.0022415167011074</v>
      </c>
      <c r="AZ18" s="48">
        <f t="shared" si="26"/>
        <v>5.3307910425400573</v>
      </c>
      <c r="BA18" s="49">
        <f t="shared" si="60"/>
        <v>0.12472356655637332</v>
      </c>
      <c r="BB18" s="6">
        <v>0.27</v>
      </c>
      <c r="BC18" s="190"/>
      <c r="BD18" s="188"/>
      <c r="BE18" s="188"/>
      <c r="BF18" s="185"/>
      <c r="BG18" s="185"/>
      <c r="BH18" s="188"/>
      <c r="BI18" s="188"/>
      <c r="BJ18" s="189"/>
      <c r="BL18" s="52">
        <f t="shared" si="33"/>
        <v>280.23770032277793</v>
      </c>
      <c r="BM18" s="187"/>
      <c r="BN18" s="19"/>
      <c r="BO18" s="11" t="s">
        <v>45</v>
      </c>
      <c r="BP18" s="50">
        <v>45670.508634259262</v>
      </c>
      <c r="BQ18" s="10">
        <v>2.2999999999999998</v>
      </c>
      <c r="BR18" s="48">
        <v>5.4104452483670293</v>
      </c>
      <c r="BS18" s="48">
        <v>30.36477028580514</v>
      </c>
      <c r="BT18" s="48">
        <v>25.3844421229097</v>
      </c>
      <c r="BU18" s="48">
        <v>64.820705846047616</v>
      </c>
      <c r="BV18" s="48">
        <v>5.4087386072877184</v>
      </c>
      <c r="BW18" s="48">
        <v>243.693179407</v>
      </c>
      <c r="BX18" s="48">
        <f t="shared" si="10"/>
        <v>299.45054619333985</v>
      </c>
      <c r="BY18" s="48">
        <v>93.52</v>
      </c>
      <c r="BZ18" s="48">
        <v>44.7</v>
      </c>
      <c r="CA18" s="58">
        <f t="shared" si="11"/>
        <v>2.2350000000000002E-2</v>
      </c>
      <c r="CB18" s="48">
        <v>1</v>
      </c>
      <c r="CC18" s="57">
        <f t="shared" si="12"/>
        <v>0.99854997046857541</v>
      </c>
      <c r="CD18" s="57">
        <v>-7.7000000000000002E-3</v>
      </c>
      <c r="CE18" s="57">
        <f t="shared" si="13"/>
        <v>1.0021835758167421</v>
      </c>
      <c r="CF18" s="48">
        <f t="shared" si="35"/>
        <v>5.4126890419858782</v>
      </c>
      <c r="CG18" s="49">
        <f t="shared" si="14"/>
        <v>4.1471515112847183E-2</v>
      </c>
      <c r="CH18" s="55">
        <v>0.21605411022306534</v>
      </c>
      <c r="CI18" s="190"/>
      <c r="CJ18" s="188"/>
      <c r="CK18" s="188"/>
      <c r="CL18" s="185"/>
      <c r="CM18" s="185"/>
      <c r="CN18" s="188"/>
      <c r="CO18" s="188"/>
      <c r="CP18" s="189"/>
      <c r="CR18" s="52">
        <f t="shared" si="2"/>
        <v>300.3894933276639</v>
      </c>
      <c r="CS18" s="187"/>
      <c r="CV18" s="188"/>
      <c r="CW18" s="188"/>
      <c r="CX18" s="188"/>
      <c r="CY18" s="188"/>
      <c r="CZ18" s="188"/>
      <c r="DA18" s="188"/>
      <c r="DC18" s="198"/>
      <c r="DD18" s="188"/>
      <c r="DE18" s="188"/>
      <c r="DF18" s="188"/>
      <c r="DH18" s="185"/>
      <c r="DI18" s="185"/>
      <c r="DJ18" s="197"/>
      <c r="DK18" s="185"/>
      <c r="DL18" s="185"/>
      <c r="DM18" s="197"/>
      <c r="DN18" s="196"/>
      <c r="DO18" s="185"/>
      <c r="DP18" s="197"/>
    </row>
    <row r="19" spans="1:120" x14ac:dyDescent="0.25">
      <c r="A19" s="66"/>
      <c r="B19" s="47"/>
      <c r="C19" s="11" t="s">
        <v>45</v>
      </c>
      <c r="D19" s="50" t="s">
        <v>63</v>
      </c>
      <c r="E19" s="10">
        <v>10</v>
      </c>
      <c r="F19" s="48">
        <v>3.1157353724355601</v>
      </c>
      <c r="G19" s="48">
        <v>31.367407407963601</v>
      </c>
      <c r="H19" s="48">
        <v>20.009282240924499</v>
      </c>
      <c r="I19" s="48">
        <v>70.008896471784297</v>
      </c>
      <c r="J19" s="48">
        <v>3.1183914946536402</v>
      </c>
      <c r="K19" s="48">
        <v>238.44350257900001</v>
      </c>
      <c r="L19" s="48">
        <f t="shared" si="3"/>
        <v>300.45189869231399</v>
      </c>
      <c r="M19" s="48">
        <v>93.52</v>
      </c>
      <c r="N19" s="48">
        <v>44.7</v>
      </c>
      <c r="O19" s="58">
        <f t="shared" si="4"/>
        <v>2.2350000000000002E-2</v>
      </c>
      <c r="P19" s="48">
        <v>1</v>
      </c>
      <c r="Q19" s="57">
        <f t="shared" si="5"/>
        <v>0.99848551639432426</v>
      </c>
      <c r="R19" s="57">
        <v>-7.7000000000000002E-3</v>
      </c>
      <c r="S19" s="57">
        <f t="shared" si="6"/>
        <v>1.0022611224006215</v>
      </c>
      <c r="T19" s="48">
        <f t="shared" si="7"/>
        <v>3.1207091279992407</v>
      </c>
      <c r="U19" s="49">
        <f t="shared" si="8"/>
        <v>0.15963344023637854</v>
      </c>
      <c r="V19" s="6">
        <v>0.35</v>
      </c>
      <c r="W19" s="190">
        <f t="shared" ref="W19" si="61">AVERAGE(U19:U21)</f>
        <v>0.17016216797385009</v>
      </c>
      <c r="X19" s="188">
        <f t="shared" ref="X19" si="62">STDEV(U19:U21)</f>
        <v>1.4390090245188522E-2</v>
      </c>
      <c r="Y19" s="188">
        <f t="shared" ref="Y19" si="63">COUNT(V19:V21)</f>
        <v>3</v>
      </c>
      <c r="Z19" s="185">
        <f t="shared" ref="Z19" si="64">TINV(0.05,Y19-1)</f>
        <v>4.3026527297494637</v>
      </c>
      <c r="AA19" s="185">
        <f t="shared" ref="AA19" si="65">X19*Z19/SQRT(Y19)</f>
        <v>3.5746965853563371E-2</v>
      </c>
      <c r="AB19" s="188">
        <f t="shared" ref="AB19" si="66">AVERAGE(V19:V21)</f>
        <v>0.34999999999999992</v>
      </c>
      <c r="AC19" s="188">
        <f t="shared" ref="AC19" si="67">SQRT(AA19^2+AB19^2)</f>
        <v>0.35182075772719235</v>
      </c>
      <c r="AD19" s="189">
        <f t="shared" ref="AD19" si="68">AVERAGE(F19:F21)</f>
        <v>3.1134241763286936</v>
      </c>
      <c r="AF19" s="52">
        <f t="shared" si="9"/>
        <v>160.35403993659017</v>
      </c>
      <c r="AG19" s="187">
        <f t="shared" ref="AG19" si="69">AVERAGE(AF19:AF21)</f>
        <v>160.3249579869333</v>
      </c>
      <c r="AI19" s="11" t="s">
        <v>45</v>
      </c>
      <c r="AJ19" s="177">
        <v>45805</v>
      </c>
      <c r="AK19" s="9"/>
      <c r="AL19" s="54">
        <v>3.0502941787340099</v>
      </c>
      <c r="AM19" s="54">
        <v>31.04437590276034</v>
      </c>
      <c r="AN19" s="54">
        <v>21.039513830172407</v>
      </c>
      <c r="AO19" s="54">
        <v>68.601374119599996</v>
      </c>
      <c r="AP19" s="54">
        <v>3.0428505747126433</v>
      </c>
      <c r="AQ19" s="48">
        <v>239.63593803099999</v>
      </c>
      <c r="AR19" s="48">
        <f t="shared" si="58"/>
        <v>299.12716717799009</v>
      </c>
      <c r="AS19" s="48">
        <v>93.52</v>
      </c>
      <c r="AT19" s="48">
        <v>44.7</v>
      </c>
      <c r="AU19" s="58">
        <f t="shared" si="24"/>
        <v>2.2350000000000002E-2</v>
      </c>
      <c r="AV19" s="48">
        <v>1</v>
      </c>
      <c r="AW19" s="57">
        <f t="shared" si="59"/>
        <v>0.99850052857987914</v>
      </c>
      <c r="AX19" s="57">
        <v>-7.7000000000000002E-3</v>
      </c>
      <c r="AY19" s="57">
        <f t="shared" si="25"/>
        <v>1.0022361369867081</v>
      </c>
      <c r="AZ19" s="48">
        <f t="shared" si="26"/>
        <v>3.0450819352058112</v>
      </c>
      <c r="BA19" s="49">
        <f t="shared" si="60"/>
        <v>-0.17087674902104016</v>
      </c>
      <c r="BB19" s="6">
        <v>0.27</v>
      </c>
      <c r="BC19" s="190">
        <f t="shared" ref="BC19" si="70">AVERAGE(BA19:BA21)</f>
        <v>-0.16243936649690213</v>
      </c>
      <c r="BD19" s="188">
        <f t="shared" ref="BD19" si="71">STDEV(BA19:BA21)</f>
        <v>8.7076473374805147E-3</v>
      </c>
      <c r="BE19" s="188">
        <f t="shared" ref="BE19" si="72">COUNT(BB19:BB21)</f>
        <v>3</v>
      </c>
      <c r="BF19" s="185">
        <f t="shared" ref="BF19" si="73">TINV(0.05,BE19-1)</f>
        <v>4.3026527297494637</v>
      </c>
      <c r="BG19" s="185">
        <f>BD19*BF19/SQRT(BE19)</f>
        <v>2.1630995131657709E-2</v>
      </c>
      <c r="BH19" s="188">
        <f t="shared" ref="BH19" si="74">AVERAGE(BB19:BB21)</f>
        <v>0.27</v>
      </c>
      <c r="BI19" s="188">
        <f t="shared" ref="BI19" si="75">SQRT(BG19^2+BH19^2)</f>
        <v>0.27086509548183912</v>
      </c>
      <c r="BJ19" s="189">
        <f>AVERAGE(AL19:AL21)</f>
        <v>3.0503366216184986</v>
      </c>
      <c r="BL19" s="52">
        <f t="shared" si="33"/>
        <v>159.6799220066321</v>
      </c>
      <c r="BM19" s="187">
        <f t="shared" ref="BM19" si="76">AVERAGE(BL19:BL21)</f>
        <v>159.68688054485131</v>
      </c>
      <c r="BN19" s="19"/>
      <c r="BO19" s="11" t="s">
        <v>45</v>
      </c>
      <c r="BP19" s="50">
        <v>45670.54760416667</v>
      </c>
      <c r="BQ19" s="10">
        <v>4.0999999999999996</v>
      </c>
      <c r="BR19" s="48">
        <v>2.9961752778683315</v>
      </c>
      <c r="BS19" s="48">
        <v>31.658704607758754</v>
      </c>
      <c r="BT19" s="48">
        <v>26.206636389632106</v>
      </c>
      <c r="BU19" s="48">
        <v>67.900801398320056</v>
      </c>
      <c r="BV19" s="48">
        <v>2.9993298534826738</v>
      </c>
      <c r="BW19" s="48">
        <v>243.05058713</v>
      </c>
      <c r="BX19" s="48">
        <f t="shared" si="10"/>
        <v>299.86262131953333</v>
      </c>
      <c r="BY19" s="48">
        <v>93.52</v>
      </c>
      <c r="BZ19" s="48">
        <v>44.7</v>
      </c>
      <c r="CA19" s="58">
        <f t="shared" si="11"/>
        <v>2.2350000000000002E-2</v>
      </c>
      <c r="CB19" s="48">
        <v>1</v>
      </c>
      <c r="CC19" s="57">
        <f t="shared" si="12"/>
        <v>0.99854230416756973</v>
      </c>
      <c r="CD19" s="57">
        <v>-7.7000000000000002E-3</v>
      </c>
      <c r="CE19" s="57">
        <f t="shared" si="13"/>
        <v>1.0022836543396418</v>
      </c>
      <c r="CF19" s="48">
        <f t="shared" si="35"/>
        <v>3.0017971911016836</v>
      </c>
      <c r="CG19" s="49">
        <f t="shared" si="14"/>
        <v>0.18763632671556965</v>
      </c>
      <c r="CH19" s="55">
        <v>0.22895238387608294</v>
      </c>
      <c r="CI19" s="190">
        <f t="shared" ref="CI19" si="77">AVERAGE(CG19:CG21)</f>
        <v>0.18182965505238999</v>
      </c>
      <c r="CJ19" s="188">
        <f t="shared" ref="CJ19" si="78">STDEV(CG19:CG21)</f>
        <v>5.0436551084113903E-3</v>
      </c>
      <c r="CK19" s="188">
        <f t="shared" ref="CK19" si="79">COUNT(CH19:CH21)</f>
        <v>3</v>
      </c>
      <c r="CL19" s="185">
        <f t="shared" ref="CL19" si="80">TINV(0.05,CK19-1)</f>
        <v>4.3026527297494637</v>
      </c>
      <c r="CM19" s="185">
        <f t="shared" ref="CM19" si="81">CJ19*CL19/SQRT(CK19)</f>
        <v>1.2529133859866939E-2</v>
      </c>
      <c r="CN19" s="188">
        <f t="shared" ref="CN19" si="82">AVERAGE(CH19:CH21)</f>
        <v>0.22457029674945791</v>
      </c>
      <c r="CO19" s="188">
        <f t="shared" ref="CO19" si="83">SQRT(CM19^2+CN19^2)</f>
        <v>0.22491953533968109</v>
      </c>
      <c r="CP19" s="189">
        <f>AVERAGE(BR19:BR21)</f>
        <v>2.9928192700269487</v>
      </c>
      <c r="CR19" s="52">
        <f t="shared" si="2"/>
        <v>159.02002995806717</v>
      </c>
      <c r="CS19" s="187">
        <f t="shared" ref="CS19" si="84">AVERAGE(CR19:CR21)</f>
        <v>158.98604227811305</v>
      </c>
      <c r="CV19" s="188">
        <f>W19*CW19</f>
        <v>1.3747384856584137</v>
      </c>
      <c r="CW19" s="188">
        <f>1/AC19^2</f>
        <v>8.0789901893450171</v>
      </c>
      <c r="CX19" s="188">
        <f t="shared" ref="CX19" si="85">BC19*CY19</f>
        <v>-2.2140386545989434</v>
      </c>
      <c r="CY19" s="188">
        <f t="shared" ref="CY19" si="86">1/BI19^2</f>
        <v>13.629938987980276</v>
      </c>
      <c r="CZ19" s="188">
        <f t="shared" ref="CZ19" si="87">CI19*DA19</f>
        <v>3.5942671990371435</v>
      </c>
      <c r="DA19" s="188">
        <f t="shared" ref="DA19" si="88">1/CO19^2</f>
        <v>19.76722222786783</v>
      </c>
      <c r="DC19" s="198">
        <f>AVERAGE(AD19,BJ19,CP19)</f>
        <v>3.0521933559913808</v>
      </c>
      <c r="DD19" s="188">
        <f t="shared" ref="DD19" si="89">SUM(CV19,CX19,CZ19)/SUM(CW19,CY19,DA19)</f>
        <v>6.6422918635398551E-2</v>
      </c>
      <c r="DE19" s="188">
        <f t="shared" ref="DE19" si="90">SUM(CW19,CY19,DA19)</f>
        <v>41.476151405193121</v>
      </c>
      <c r="DF19" s="188">
        <f t="shared" ref="DF19" si="91">SQRT(DE19^-1)</f>
        <v>0.15527472702330977</v>
      </c>
      <c r="DH19" s="185">
        <f>W19-DD19</f>
        <v>0.10373924933845154</v>
      </c>
      <c r="DI19" s="185">
        <f>SQRT(AC19^2-DF19^2)</f>
        <v>0.31570176546160206</v>
      </c>
      <c r="DJ19" s="197">
        <f t="shared" ref="DJ19" si="92">ABS(DH19/DI19)</f>
        <v>0.32859888884932148</v>
      </c>
      <c r="DK19" s="185">
        <f t="shared" ref="DK19" si="93">BC19-DD19</f>
        <v>-0.22886228513230067</v>
      </c>
      <c r="DL19" s="185">
        <f t="shared" ref="DL19" si="94">SQRT(BI19^2-DF19^2)</f>
        <v>0.22194066571546203</v>
      </c>
      <c r="DM19" s="197">
        <f t="shared" ref="DM19" si="95">ABS(DK19/DL19)</f>
        <v>1.0311868011863696</v>
      </c>
      <c r="DN19" s="196">
        <f t="shared" ref="DN19" si="96">CI19-DD19</f>
        <v>0.11540673641699144</v>
      </c>
      <c r="DO19" s="185">
        <f t="shared" ref="DO19" si="97">SQRT(CO19^2-DF19^2)</f>
        <v>0.1627223295225787</v>
      </c>
      <c r="DP19" s="197">
        <f t="shared" ref="DP19" si="98">ABS(DN19/DO19)</f>
        <v>0.70922495244254757</v>
      </c>
    </row>
    <row r="20" spans="1:120" x14ac:dyDescent="0.25">
      <c r="A20" s="66"/>
      <c r="B20" s="47"/>
      <c r="C20" s="11" t="s">
        <v>45</v>
      </c>
      <c r="D20" s="50" t="s">
        <v>64</v>
      </c>
      <c r="E20" s="10">
        <v>11</v>
      </c>
      <c r="F20" s="48">
        <v>3.1124283500113199</v>
      </c>
      <c r="G20" s="48">
        <v>31.361399635527501</v>
      </c>
      <c r="H20" s="48">
        <v>20.0489140795315</v>
      </c>
      <c r="I20" s="48">
        <v>69.972881351613694</v>
      </c>
      <c r="J20" s="48">
        <v>3.1159187866693099</v>
      </c>
      <c r="K20" s="48">
        <v>238.48723653499999</v>
      </c>
      <c r="L20" s="48">
        <f t="shared" si="3"/>
        <v>300.47220686515374</v>
      </c>
      <c r="M20" s="48">
        <v>93.52</v>
      </c>
      <c r="N20" s="48">
        <v>44.7</v>
      </c>
      <c r="O20" s="58">
        <f t="shared" si="4"/>
        <v>2.2350000000000002E-2</v>
      </c>
      <c r="P20" s="48">
        <v>1</v>
      </c>
      <c r="Q20" s="57">
        <f t="shared" si="5"/>
        <v>0.99848607095667608</v>
      </c>
      <c r="R20" s="57">
        <v>-7.7000000000000002E-3</v>
      </c>
      <c r="S20" s="57">
        <f t="shared" si="6"/>
        <v>1.0022606577080106</v>
      </c>
      <c r="T20" s="48">
        <f t="shared" si="7"/>
        <v>3.118234868388877</v>
      </c>
      <c r="U20" s="49">
        <f t="shared" si="8"/>
        <v>0.18655910191590308</v>
      </c>
      <c r="V20" s="6">
        <v>0.35</v>
      </c>
      <c r="W20" s="190"/>
      <c r="X20" s="188"/>
      <c r="Y20" s="188"/>
      <c r="Z20" s="185"/>
      <c r="AA20" s="185"/>
      <c r="AB20" s="188"/>
      <c r="AC20" s="188"/>
      <c r="AD20" s="189"/>
      <c r="AF20" s="52">
        <f t="shared" si="9"/>
        <v>160.30935721572692</v>
      </c>
      <c r="AG20" s="187"/>
      <c r="AI20" s="11" t="s">
        <v>45</v>
      </c>
      <c r="AJ20" s="177">
        <v>45805</v>
      </c>
      <c r="AK20" s="9"/>
      <c r="AL20" s="54">
        <v>3.0503063345776154</v>
      </c>
      <c r="AM20" s="54">
        <v>31.030067228940517</v>
      </c>
      <c r="AN20" s="54">
        <v>20.971992357758623</v>
      </c>
      <c r="AO20" s="54">
        <v>68.605248770200006</v>
      </c>
      <c r="AP20" s="54">
        <v>3.0431091954022991</v>
      </c>
      <c r="AQ20" s="48">
        <v>239.59054758299999</v>
      </c>
      <c r="AR20" s="48">
        <f t="shared" si="58"/>
        <v>299.09283783437371</v>
      </c>
      <c r="AS20" s="48">
        <v>93.52</v>
      </c>
      <c r="AT20" s="48">
        <v>44.7</v>
      </c>
      <c r="AU20" s="58">
        <f t="shared" si="24"/>
        <v>2.2350000000000002E-2</v>
      </c>
      <c r="AV20" s="48">
        <v>1</v>
      </c>
      <c r="AW20" s="57">
        <f t="shared" si="59"/>
        <v>0.99849996122843276</v>
      </c>
      <c r="AX20" s="57">
        <v>-7.7000000000000002E-3</v>
      </c>
      <c r="AY20" s="57">
        <f t="shared" ref="AY20:AY21" si="99">1/(1+AX20/100*((AM20)-2.06843))</f>
        <v>1.002235030287129</v>
      </c>
      <c r="AZ20" s="48">
        <f t="shared" si="26"/>
        <v>3.0453356524163171</v>
      </c>
      <c r="BA20" s="49">
        <f t="shared" si="60"/>
        <v>-0.16295681863003972</v>
      </c>
      <c r="BB20" s="6">
        <v>0.27</v>
      </c>
      <c r="BC20" s="190"/>
      <c r="BD20" s="188"/>
      <c r="BE20" s="188"/>
      <c r="BF20" s="185"/>
      <c r="BG20" s="185"/>
      <c r="BH20" s="188"/>
      <c r="BI20" s="188"/>
      <c r="BJ20" s="189"/>
      <c r="BL20" s="52">
        <f t="shared" si="33"/>
        <v>159.68447458216741</v>
      </c>
      <c r="BM20" s="187"/>
      <c r="BN20" s="19"/>
      <c r="BO20" s="11" t="s">
        <v>45</v>
      </c>
      <c r="BP20" s="50">
        <v>45670.549386574072</v>
      </c>
      <c r="BQ20" s="10">
        <v>4.2</v>
      </c>
      <c r="BR20" s="48">
        <v>2.9919715831831533</v>
      </c>
      <c r="BS20" s="48">
        <v>31.615325382662469</v>
      </c>
      <c r="BT20" s="48">
        <v>26.112759933110368</v>
      </c>
      <c r="BU20" s="48">
        <v>67.823930102315543</v>
      </c>
      <c r="BV20" s="48">
        <v>2.9948611253107584</v>
      </c>
      <c r="BW20" s="48">
        <v>243.013128795</v>
      </c>
      <c r="BX20" s="48">
        <f t="shared" si="10"/>
        <v>299.81560006765858</v>
      </c>
      <c r="BY20" s="48">
        <v>93.52</v>
      </c>
      <c r="BZ20" s="48">
        <v>44.7</v>
      </c>
      <c r="CA20" s="58">
        <f t="shared" si="11"/>
        <v>2.2350000000000002E-2</v>
      </c>
      <c r="CB20" s="48">
        <v>1</v>
      </c>
      <c r="CC20" s="57">
        <f t="shared" si="12"/>
        <v>0.9985418554062836</v>
      </c>
      <c r="CD20" s="57">
        <v>-7.7000000000000002E-3</v>
      </c>
      <c r="CE20" s="57">
        <f t="shared" si="13"/>
        <v>1.0022802988773976</v>
      </c>
      <c r="CF20" s="48">
        <f t="shared" si="35"/>
        <v>2.9973134052843089</v>
      </c>
      <c r="CG20" s="49">
        <f t="shared" si="14"/>
        <v>0.17853853061908029</v>
      </c>
      <c r="CH20" s="55">
        <v>0.2239748739022156</v>
      </c>
      <c r="CI20" s="190"/>
      <c r="CJ20" s="188"/>
      <c r="CK20" s="188"/>
      <c r="CL20" s="185"/>
      <c r="CM20" s="185"/>
      <c r="CN20" s="188"/>
      <c r="CO20" s="188"/>
      <c r="CP20" s="189"/>
      <c r="CR20" s="52">
        <f t="shared" si="2"/>
        <v>158.96306856377001</v>
      </c>
      <c r="CS20" s="187"/>
      <c r="CV20" s="188"/>
      <c r="CW20" s="188"/>
      <c r="CX20" s="188"/>
      <c r="CY20" s="188"/>
      <c r="CZ20" s="188"/>
      <c r="DA20" s="188"/>
      <c r="DC20" s="198"/>
      <c r="DD20" s="188"/>
      <c r="DE20" s="188"/>
      <c r="DF20" s="188"/>
      <c r="DH20" s="185"/>
      <c r="DI20" s="185"/>
      <c r="DJ20" s="197"/>
      <c r="DK20" s="185"/>
      <c r="DL20" s="185"/>
      <c r="DM20" s="197"/>
      <c r="DN20" s="196"/>
      <c r="DO20" s="185"/>
      <c r="DP20" s="197"/>
    </row>
    <row r="21" spans="1:120" x14ac:dyDescent="0.25">
      <c r="A21" s="66"/>
      <c r="B21" s="47"/>
      <c r="C21" s="11" t="s">
        <v>45</v>
      </c>
      <c r="D21" s="50" t="s">
        <v>65</v>
      </c>
      <c r="E21" s="10">
        <v>12</v>
      </c>
      <c r="F21" s="48">
        <v>3.1121088065392</v>
      </c>
      <c r="G21" s="48">
        <v>31.351465806682299</v>
      </c>
      <c r="H21" s="48">
        <v>20.0389947050957</v>
      </c>
      <c r="I21" s="48">
        <v>69.949274779621902</v>
      </c>
      <c r="J21" s="48">
        <v>3.1149087615565398</v>
      </c>
      <c r="K21" s="48">
        <v>238.49003222900001</v>
      </c>
      <c r="L21" s="48">
        <f t="shared" si="3"/>
        <v>300.46712410155288</v>
      </c>
      <c r="M21" s="48">
        <v>93.52</v>
      </c>
      <c r="N21" s="48">
        <v>44.7</v>
      </c>
      <c r="O21" s="58">
        <f t="shared" si="4"/>
        <v>2.2350000000000002E-2</v>
      </c>
      <c r="P21" s="48">
        <v>1</v>
      </c>
      <c r="Q21" s="57">
        <f t="shared" si="5"/>
        <v>0.99848610639673196</v>
      </c>
      <c r="R21" s="57">
        <v>-7.7000000000000002E-3</v>
      </c>
      <c r="S21" s="57">
        <f t="shared" si="6"/>
        <v>1.0022598893414936</v>
      </c>
      <c r="T21" s="48">
        <f t="shared" si="7"/>
        <v>3.1172218133920335</v>
      </c>
      <c r="U21" s="49">
        <f t="shared" si="8"/>
        <v>0.16429396176926869</v>
      </c>
      <c r="V21" s="6">
        <v>0.35</v>
      </c>
      <c r="W21" s="190"/>
      <c r="X21" s="188"/>
      <c r="Y21" s="188"/>
      <c r="Z21" s="185"/>
      <c r="AA21" s="185"/>
      <c r="AB21" s="188"/>
      <c r="AC21" s="188"/>
      <c r="AD21" s="189"/>
      <c r="AF21" s="52">
        <f t="shared" si="9"/>
        <v>160.31147680848275</v>
      </c>
      <c r="AG21" s="187"/>
      <c r="AI21" s="11" t="s">
        <v>45</v>
      </c>
      <c r="AJ21" s="177">
        <v>45805</v>
      </c>
      <c r="AK21" s="9"/>
      <c r="AL21" s="54">
        <v>3.0504093515438697</v>
      </c>
      <c r="AM21" s="54">
        <v>31.015955556288795</v>
      </c>
      <c r="AN21" s="54">
        <v>20.89787231034483</v>
      </c>
      <c r="AO21" s="54">
        <v>68.609131583000007</v>
      </c>
      <c r="AP21" s="54">
        <v>3.0435057471264368</v>
      </c>
      <c r="AQ21" s="48">
        <v>239.54513662900001</v>
      </c>
      <c r="AR21" s="48">
        <f t="shared" si="58"/>
        <v>299.05514909852445</v>
      </c>
      <c r="AS21" s="48">
        <v>93.52</v>
      </c>
      <c r="AT21" s="48">
        <v>44.7</v>
      </c>
      <c r="AU21" s="58">
        <f t="shared" si="24"/>
        <v>2.2350000000000002E-2</v>
      </c>
      <c r="AV21" s="48">
        <v>1</v>
      </c>
      <c r="AW21" s="57">
        <f t="shared" si="59"/>
        <v>0.99849939329855586</v>
      </c>
      <c r="AX21" s="57">
        <v>-7.7000000000000002E-3</v>
      </c>
      <c r="AY21" s="57">
        <f t="shared" si="99"/>
        <v>1.002233938826933</v>
      </c>
      <c r="AZ21" s="48">
        <f t="shared" si="26"/>
        <v>3.0457274450314604</v>
      </c>
      <c r="BA21" s="49">
        <f t="shared" si="60"/>
        <v>-0.15348453183962651</v>
      </c>
      <c r="BB21" s="6">
        <v>0.27</v>
      </c>
      <c r="BC21" s="190"/>
      <c r="BD21" s="188"/>
      <c r="BE21" s="188"/>
      <c r="BF21" s="185"/>
      <c r="BG21" s="185"/>
      <c r="BH21" s="188"/>
      <c r="BI21" s="188"/>
      <c r="BJ21" s="189"/>
      <c r="BL21" s="52">
        <f t="shared" si="33"/>
        <v>159.69624504575435</v>
      </c>
      <c r="BM21" s="187"/>
      <c r="BN21" s="19"/>
      <c r="BO21" s="11" t="s">
        <v>45</v>
      </c>
      <c r="BP21" s="50">
        <v>45670.550856481481</v>
      </c>
      <c r="BQ21" s="10">
        <v>4.3</v>
      </c>
      <c r="BR21" s="48">
        <v>2.9903109490293609</v>
      </c>
      <c r="BS21" s="48">
        <v>31.585260882528132</v>
      </c>
      <c r="BT21" s="48">
        <v>26.02109989882943</v>
      </c>
      <c r="BU21" s="48">
        <v>67.781900412135798</v>
      </c>
      <c r="BV21" s="48">
        <v>2.9932304269706891</v>
      </c>
      <c r="BW21" s="48">
        <v>242.973567823</v>
      </c>
      <c r="BX21" s="48">
        <f t="shared" si="10"/>
        <v>299.76968187058787</v>
      </c>
      <c r="BY21" s="48">
        <v>93.52</v>
      </c>
      <c r="BZ21" s="48">
        <v>44.7</v>
      </c>
      <c r="CA21" s="58">
        <f t="shared" si="11"/>
        <v>2.2350000000000002E-2</v>
      </c>
      <c r="CB21" s="48">
        <v>1</v>
      </c>
      <c r="CC21" s="57">
        <f t="shared" si="12"/>
        <v>0.99854138122988689</v>
      </c>
      <c r="CD21" s="57">
        <v>-7.7000000000000002E-3</v>
      </c>
      <c r="CE21" s="57">
        <f t="shared" si="13"/>
        <v>1.0022779733466147</v>
      </c>
      <c r="CF21" s="48">
        <f t="shared" si="35"/>
        <v>2.995672998428732</v>
      </c>
      <c r="CG21" s="49">
        <f t="shared" si="14"/>
        <v>0.17931410782251994</v>
      </c>
      <c r="CH21" s="55">
        <v>0.22078363247007515</v>
      </c>
      <c r="CI21" s="190"/>
      <c r="CJ21" s="188"/>
      <c r="CK21" s="188"/>
      <c r="CL21" s="185"/>
      <c r="CM21" s="185"/>
      <c r="CN21" s="188"/>
      <c r="CO21" s="188"/>
      <c r="CP21" s="189"/>
      <c r="CR21" s="52">
        <f t="shared" si="2"/>
        <v>158.97502831250202</v>
      </c>
      <c r="CS21" s="187"/>
      <c r="CV21" s="188"/>
      <c r="CW21" s="188"/>
      <c r="CX21" s="188"/>
      <c r="CY21" s="188"/>
      <c r="CZ21" s="188"/>
      <c r="DA21" s="188"/>
      <c r="DC21" s="198"/>
      <c r="DD21" s="188"/>
      <c r="DE21" s="188"/>
      <c r="DF21" s="188"/>
      <c r="DH21" s="185"/>
      <c r="DI21" s="185"/>
      <c r="DJ21" s="197"/>
      <c r="DK21" s="185"/>
      <c r="DL21" s="185"/>
      <c r="DM21" s="197"/>
      <c r="DN21" s="196"/>
      <c r="DO21" s="185"/>
      <c r="DP21" s="197"/>
    </row>
    <row r="22" spans="1:120" x14ac:dyDescent="0.25">
      <c r="A22" s="66"/>
      <c r="B22" s="47"/>
      <c r="C22" s="11" t="s">
        <v>45</v>
      </c>
      <c r="D22" s="50" t="s">
        <v>66</v>
      </c>
      <c r="E22" s="10">
        <v>14</v>
      </c>
      <c r="F22" s="48">
        <v>1.5654273335409199</v>
      </c>
      <c r="G22" s="48">
        <v>31.374503215376901</v>
      </c>
      <c r="H22" s="48">
        <v>20.0194835758656</v>
      </c>
      <c r="I22" s="48">
        <v>70.024404853808903</v>
      </c>
      <c r="J22" s="48">
        <v>1.5663176048516501</v>
      </c>
      <c r="K22" s="48">
        <v>238.451692697</v>
      </c>
      <c r="L22" s="48">
        <f t="shared" si="3"/>
        <v>300.45712619827128</v>
      </c>
      <c r="M22" s="48">
        <v>93.52</v>
      </c>
      <c r="N22" s="48">
        <v>44.7</v>
      </c>
      <c r="O22" s="58">
        <f t="shared" si="4"/>
        <v>2.2350000000000002E-2</v>
      </c>
      <c r="P22" s="48">
        <v>1</v>
      </c>
      <c r="Q22" s="57">
        <f t="shared" si="5"/>
        <v>0.99848562027115173</v>
      </c>
      <c r="R22" s="57">
        <v>-7.7000000000000002E-3</v>
      </c>
      <c r="S22" s="57">
        <f t="shared" si="6"/>
        <v>1.0022616712517376</v>
      </c>
      <c r="T22" s="48">
        <f t="shared" si="7"/>
        <v>1.5674827360365364</v>
      </c>
      <c r="U22" s="49">
        <f t="shared" si="8"/>
        <v>0.13129977045739402</v>
      </c>
      <c r="V22" s="6">
        <v>0.35</v>
      </c>
      <c r="W22" s="190">
        <f t="shared" ref="W22" si="100">AVERAGE(U22:U24)</f>
        <v>0.1287746410285274</v>
      </c>
      <c r="X22" s="188">
        <f t="shared" ref="X22" si="101">STDEV(U22:U24)</f>
        <v>6.4357574750821258E-3</v>
      </c>
      <c r="Y22" s="188">
        <f t="shared" ref="Y22" si="102">COUNT(V22:V24)</f>
        <v>3</v>
      </c>
      <c r="Z22" s="185">
        <f t="shared" ref="Z22" si="103">TINV(0.05,Y22-1)</f>
        <v>4.3026527297494637</v>
      </c>
      <c r="AA22" s="185">
        <f t="shared" ref="AA22" si="104">X22*Z22/SQRT(Y22)</f>
        <v>1.59873078475306E-2</v>
      </c>
      <c r="AB22" s="188">
        <f t="shared" ref="AB22" si="105">AVERAGE(V22:V24)</f>
        <v>0.34999999999999992</v>
      </c>
      <c r="AC22" s="188">
        <f t="shared" ref="AC22" si="106">SQRT(AA22^2+AB22^2)</f>
        <v>0.35036494404008467</v>
      </c>
      <c r="AD22" s="189">
        <f t="shared" ref="AD22" si="107">AVERAGE(F22:F24)</f>
        <v>1.5649296099458034</v>
      </c>
      <c r="AF22" s="52">
        <f t="shared" si="9"/>
        <v>80.525402382755516</v>
      </c>
      <c r="AG22" s="187">
        <f t="shared" ref="AG22" si="108">AVERAGE(AF22:AF24)</f>
        <v>80.523699923833917</v>
      </c>
      <c r="AI22" s="11" t="s">
        <v>45</v>
      </c>
      <c r="AJ22" s="177">
        <v>45805</v>
      </c>
      <c r="AK22" s="9"/>
      <c r="AL22" s="54">
        <v>1.5251295443566799</v>
      </c>
      <c r="AM22" s="54">
        <v>31.054389726291127</v>
      </c>
      <c r="AN22" s="54">
        <v>21.100628457971016</v>
      </c>
      <c r="AO22" s="54">
        <v>68.602072544799995</v>
      </c>
      <c r="AP22" s="54">
        <v>1.5212681159420289</v>
      </c>
      <c r="AQ22" s="48">
        <v>239.67329914800001</v>
      </c>
      <c r="AR22" s="48">
        <f t="shared" si="58"/>
        <v>299.1582357499554</v>
      </c>
      <c r="AS22" s="48">
        <v>93.52</v>
      </c>
      <c r="AT22" s="48">
        <v>44.7</v>
      </c>
      <c r="AU22" s="58">
        <f t="shared" si="24"/>
        <v>2.2350000000000002E-2</v>
      </c>
      <c r="AV22" s="48">
        <v>1</v>
      </c>
      <c r="AW22" s="57">
        <f t="shared" ref="AW22:AW24" si="109">1/(1+AV22*0.5*(2*PI()*AS22/AQ22*AU22)^2)</f>
        <v>0.99850099532849357</v>
      </c>
      <c r="AX22" s="57">
        <v>-7.7000000000000002E-3</v>
      </c>
      <c r="AY22" s="57">
        <f t="shared" ref="AY22:AY24" si="110">1/(1+AX22/100*((AM22)-2.06843))</f>
        <v>1.0022369115039853</v>
      </c>
      <c r="AZ22" s="48">
        <f t="shared" ref="AZ22:AZ24" si="111">AP22*AY22*AW22</f>
        <v>1.5223855690526362</v>
      </c>
      <c r="BA22" s="49">
        <f t="shared" ref="BA22:BA24" si="112">(AZ22-AL22)/AL22*100</f>
        <v>-0.17991752334724681</v>
      </c>
      <c r="BB22" s="6">
        <v>0.27</v>
      </c>
      <c r="BC22" s="190">
        <f t="shared" ref="BC22" si="113">AVERAGE(BA22:BA24)</f>
        <v>-0.18972165182667824</v>
      </c>
      <c r="BD22" s="188">
        <f t="shared" ref="BD22" si="114">STDEV(BA22:BA24)</f>
        <v>9.4143510846180275E-3</v>
      </c>
      <c r="BE22" s="188">
        <f t="shared" ref="BE22" si="115">COUNT(BB22:BB24)</f>
        <v>3</v>
      </c>
      <c r="BF22" s="185">
        <f t="shared" ref="BF22" si="116">TINV(0.05,BE22-1)</f>
        <v>4.3026527297494637</v>
      </c>
      <c r="BG22" s="185">
        <f>BD22*BF22/SQRT(BE22)</f>
        <v>2.3386544560957272E-2</v>
      </c>
      <c r="BH22" s="188">
        <f t="shared" ref="BH22" si="117">AVERAGE(BB22:BB24)</f>
        <v>0.27</v>
      </c>
      <c r="BI22" s="188">
        <f t="shared" ref="BI22" si="118">SQRT(BG22^2+BH22^2)</f>
        <v>0.27101094159923073</v>
      </c>
      <c r="BJ22" s="189">
        <f>AVERAGE(AL22:AL24)</f>
        <v>1.5252615882749814</v>
      </c>
      <c r="BL22" s="52">
        <f t="shared" si="33"/>
        <v>79.830900353846886</v>
      </c>
      <c r="BM22" s="187">
        <f t="shared" ref="BM22" si="119">AVERAGE(BL22:BL24)</f>
        <v>79.8140725017318</v>
      </c>
      <c r="BN22" s="19"/>
      <c r="BO22" s="11" t="s">
        <v>45</v>
      </c>
      <c r="BP22" s="50">
        <v>45670.563287037039</v>
      </c>
      <c r="BQ22" s="10">
        <v>5.0999999999999996</v>
      </c>
      <c r="BR22" s="48">
        <v>1.5691573065205142</v>
      </c>
      <c r="BS22" s="48">
        <v>31.417328434419421</v>
      </c>
      <c r="BT22" s="48">
        <v>25.174058151337793</v>
      </c>
      <c r="BU22" s="48">
        <v>67.708724897944464</v>
      </c>
      <c r="BV22" s="48">
        <v>1.5701399025427352</v>
      </c>
      <c r="BW22" s="48">
        <v>242.48826114900001</v>
      </c>
      <c r="BX22" s="48">
        <f t="shared" si="10"/>
        <v>299.34501281171066</v>
      </c>
      <c r="BY22" s="48">
        <v>93.52</v>
      </c>
      <c r="BZ22" s="48">
        <v>44.7</v>
      </c>
      <c r="CA22" s="58">
        <f t="shared" si="11"/>
        <v>2.2350000000000002E-2</v>
      </c>
      <c r="CB22" s="48">
        <v>1</v>
      </c>
      <c r="CC22" s="57">
        <f t="shared" si="12"/>
        <v>0.99853554549921453</v>
      </c>
      <c r="CD22" s="57">
        <v>-7.7000000000000002E-3</v>
      </c>
      <c r="CE22" s="57">
        <f t="shared" si="13"/>
        <v>1.0022649837373303</v>
      </c>
      <c r="CF22" s="48">
        <f t="shared" si="35"/>
        <v>1.5713916373400978</v>
      </c>
      <c r="CG22" s="49">
        <f t="shared" si="14"/>
        <v>0.14239049267393283</v>
      </c>
      <c r="CH22" s="55">
        <v>0.2905712499037244</v>
      </c>
      <c r="CI22" s="190">
        <f t="shared" ref="CI22" si="120">AVERAGE(CG22:CG24)</f>
        <v>0.13020546620771475</v>
      </c>
      <c r="CJ22" s="188">
        <f t="shared" ref="CJ22" si="121">STDEV(CG22:CG24)</f>
        <v>1.0823207640945317E-2</v>
      </c>
      <c r="CK22" s="188">
        <f t="shared" ref="CK22" si="122">COUNT(CH22:CH24)</f>
        <v>3</v>
      </c>
      <c r="CL22" s="185">
        <f t="shared" ref="CL22" si="123">TINV(0.05,CK22-1)</f>
        <v>4.3026527297494637</v>
      </c>
      <c r="CM22" s="185">
        <f t="shared" ref="CM22" si="124">CJ22*CL22/SQRT(CK22)</f>
        <v>2.6886338262976602E-2</v>
      </c>
      <c r="CN22" s="188">
        <f t="shared" ref="CN22" si="125">AVERAGE(CH22:CH24)</f>
        <v>0.26611159743876112</v>
      </c>
      <c r="CO22" s="188">
        <f t="shared" ref="CO22" si="126">SQRT(CM22^2+CN22^2)</f>
        <v>0.26746636700078841</v>
      </c>
      <c r="CP22" s="189">
        <f>AVERAGE(BR22:BR24)</f>
        <v>1.5657124743546975</v>
      </c>
      <c r="CR22" s="52">
        <f t="shared" si="2"/>
        <v>83.482648029093937</v>
      </c>
      <c r="CS22" s="187">
        <f t="shared" ref="CS22" si="127">AVERAGE(CR22:CR24)</f>
        <v>83.418187572887234</v>
      </c>
      <c r="CV22" s="188">
        <f>W22*CW22</f>
        <v>1.0490327717017682</v>
      </c>
      <c r="CW22" s="188">
        <f>1/AC22^2</f>
        <v>8.1462682661982839</v>
      </c>
      <c r="CX22" s="188">
        <f t="shared" ref="CX22" si="128">BC22*CY22</f>
        <v>-2.5831120595735206</v>
      </c>
      <c r="CY22" s="188">
        <f t="shared" ref="CY22" si="129">1/BI22^2</f>
        <v>13.615272873195009</v>
      </c>
      <c r="CZ22" s="188">
        <f t="shared" ref="CZ22" si="130">CI22*DA22</f>
        <v>1.8200816010972014</v>
      </c>
      <c r="DA22" s="188">
        <f t="shared" ref="DA22" si="131">1/CO22^2</f>
        <v>13.978534497112845</v>
      </c>
      <c r="DC22" s="198">
        <f>AVERAGE(AD22,BJ22,CP22)</f>
        <v>1.551967890858494</v>
      </c>
      <c r="DD22" s="188">
        <f t="shared" ref="DD22" si="132">SUM(CV22,CX22,CZ22)/SUM(CW22,CY22,DA22)</f>
        <v>8.0022861768461514E-3</v>
      </c>
      <c r="DE22" s="188">
        <f t="shared" ref="DE22" si="133">SUM(CW22,CY22,DA22)</f>
        <v>35.740075636506141</v>
      </c>
      <c r="DF22" s="188">
        <f t="shared" ref="DF22" si="134">SQRT(DE22^-1)</f>
        <v>0.16727162129649947</v>
      </c>
      <c r="DH22" s="185">
        <f>W22-DD22</f>
        <v>0.12077235485168125</v>
      </c>
      <c r="DI22" s="185">
        <f>SQRT(AC22^2-DF22^2)</f>
        <v>0.30785678280825995</v>
      </c>
      <c r="DJ22" s="197">
        <f t="shared" ref="DJ22" si="135">ABS(DH22/DI22)</f>
        <v>0.39230045136572794</v>
      </c>
      <c r="DK22" s="185">
        <f t="shared" ref="DK22" si="136">BC22-DD22</f>
        <v>-0.19772393800352439</v>
      </c>
      <c r="DL22" s="185">
        <f t="shared" ref="DL22" si="137">SQRT(BI22^2-DF22^2)</f>
        <v>0.21323023982386297</v>
      </c>
      <c r="DM22" s="197">
        <f t="shared" ref="DM22" si="138">ABS(DK22/DL22)</f>
        <v>0.92727906776661961</v>
      </c>
      <c r="DN22" s="196">
        <f t="shared" ref="DN22" si="139">CI22-DD22</f>
        <v>0.12220318003086861</v>
      </c>
      <c r="DO22" s="185">
        <f t="shared" ref="DO22" si="140">SQRT(CO22^2-DF22^2)</f>
        <v>0.20870664145024445</v>
      </c>
      <c r="DP22" s="197">
        <f t="shared" ref="DP22" si="141">ABS(DN22/DO22)</f>
        <v>0.58552607229800002</v>
      </c>
    </row>
    <row r="23" spans="1:120" x14ac:dyDescent="0.25">
      <c r="A23" s="66"/>
      <c r="B23" s="47"/>
      <c r="C23" s="11" t="s">
        <v>45</v>
      </c>
      <c r="D23" s="50" t="s">
        <v>67</v>
      </c>
      <c r="E23" s="10">
        <v>15</v>
      </c>
      <c r="F23" s="48">
        <v>1.56484968181939</v>
      </c>
      <c r="G23" s="48">
        <v>31.370997929427102</v>
      </c>
      <c r="H23" s="48">
        <v>20.048778409030401</v>
      </c>
      <c r="I23" s="48">
        <v>70.000357752718401</v>
      </c>
      <c r="J23" s="48">
        <v>1.56577497937029</v>
      </c>
      <c r="K23" s="48">
        <v>238.47625669000001</v>
      </c>
      <c r="L23" s="48">
        <f t="shared" si="3"/>
        <v>300.4721373471275</v>
      </c>
      <c r="M23" s="48">
        <v>93.52</v>
      </c>
      <c r="N23" s="48">
        <v>44.7</v>
      </c>
      <c r="O23" s="58">
        <f t="shared" si="4"/>
        <v>2.2350000000000002E-2</v>
      </c>
      <c r="P23" s="48">
        <v>1</v>
      </c>
      <c r="Q23" s="57">
        <f t="shared" si="5"/>
        <v>0.99848593175690292</v>
      </c>
      <c r="R23" s="57">
        <v>-7.7000000000000002E-3</v>
      </c>
      <c r="S23" s="57">
        <f t="shared" si="6"/>
        <v>1.0022614001225303</v>
      </c>
      <c r="T23" s="48">
        <f t="shared" si="7"/>
        <v>1.5669397718493467</v>
      </c>
      <c r="U23" s="49">
        <f t="shared" si="8"/>
        <v>0.1335649074949283</v>
      </c>
      <c r="V23" s="6">
        <v>0.35</v>
      </c>
      <c r="W23" s="190"/>
      <c r="X23" s="188"/>
      <c r="Y23" s="188"/>
      <c r="Z23" s="185"/>
      <c r="AA23" s="185"/>
      <c r="AB23" s="188"/>
      <c r="AC23" s="188"/>
      <c r="AD23" s="189"/>
      <c r="AF23" s="52">
        <f t="shared" si="9"/>
        <v>80.525158823408219</v>
      </c>
      <c r="AG23" s="187"/>
      <c r="AI23" s="11" t="s">
        <v>45</v>
      </c>
      <c r="AJ23" s="177">
        <v>45805</v>
      </c>
      <c r="AK23" s="9"/>
      <c r="AL23" s="54">
        <v>1.525347202132106</v>
      </c>
      <c r="AM23" s="54">
        <v>31.053033848528798</v>
      </c>
      <c r="AN23" s="54">
        <v>21.073602885869555</v>
      </c>
      <c r="AO23" s="54">
        <v>68.615773102899993</v>
      </c>
      <c r="AP23" s="54">
        <v>1.5213236714975846</v>
      </c>
      <c r="AQ23" s="48">
        <v>239.64926660699999</v>
      </c>
      <c r="AR23" s="48">
        <f t="shared" si="58"/>
        <v>299.14449727782079</v>
      </c>
      <c r="AS23" s="48">
        <v>93.52</v>
      </c>
      <c r="AT23" s="48">
        <v>44.7</v>
      </c>
      <c r="AU23" s="58">
        <f t="shared" si="24"/>
        <v>2.2350000000000002E-2</v>
      </c>
      <c r="AV23" s="48">
        <v>1</v>
      </c>
      <c r="AW23" s="57">
        <f t="shared" si="109"/>
        <v>0.99850069511741357</v>
      </c>
      <c r="AX23" s="57">
        <v>-7.7000000000000002E-3</v>
      </c>
      <c r="AY23" s="57">
        <f t="shared" si="110"/>
        <v>1.0022368066338074</v>
      </c>
      <c r="AZ23" s="48">
        <f t="shared" si="111"/>
        <v>1.5224405483745871</v>
      </c>
      <c r="BA23" s="49">
        <f t="shared" si="112"/>
        <v>-0.19055686164146682</v>
      </c>
      <c r="BB23" s="6">
        <v>0.27</v>
      </c>
      <c r="BC23" s="190"/>
      <c r="BD23" s="188"/>
      <c r="BE23" s="188"/>
      <c r="BF23" s="185"/>
      <c r="BG23" s="185"/>
      <c r="BH23" s="188"/>
      <c r="BI23" s="188"/>
      <c r="BJ23" s="189"/>
      <c r="BL23" s="52">
        <f t="shared" si="33"/>
        <v>79.817875245361535</v>
      </c>
      <c r="BM23" s="187"/>
      <c r="BO23" s="11" t="s">
        <v>45</v>
      </c>
      <c r="BP23" s="50">
        <v>45670.564756944441</v>
      </c>
      <c r="BQ23" s="10">
        <v>5.2</v>
      </c>
      <c r="BR23" s="48">
        <v>1.5651849212815683</v>
      </c>
      <c r="BS23" s="48">
        <v>31.324962154854369</v>
      </c>
      <c r="BT23" s="48">
        <v>24.889879570234115</v>
      </c>
      <c r="BU23" s="48">
        <v>67.581546647133706</v>
      </c>
      <c r="BV23" s="48">
        <v>1.5659301600915085</v>
      </c>
      <c r="BW23" s="48">
        <v>242.37206811499999</v>
      </c>
      <c r="BX23" s="48">
        <f t="shared" si="10"/>
        <v>299.20240327890286</v>
      </c>
      <c r="BY23" s="48">
        <v>93.52</v>
      </c>
      <c r="BZ23" s="48">
        <v>44.7</v>
      </c>
      <c r="CA23" s="58">
        <f t="shared" si="11"/>
        <v>2.2350000000000002E-2</v>
      </c>
      <c r="CB23" s="48">
        <v>1</v>
      </c>
      <c r="CC23" s="57">
        <f t="shared" si="12"/>
        <v>0.99853414310403787</v>
      </c>
      <c r="CD23" s="57">
        <v>-7.7000000000000002E-3</v>
      </c>
      <c r="CE23" s="57">
        <f t="shared" si="13"/>
        <v>1.002257839330194</v>
      </c>
      <c r="CF23" s="48">
        <f t="shared" si="35"/>
        <v>1.5671651665604764</v>
      </c>
      <c r="CG23" s="49">
        <f t="shared" si="14"/>
        <v>0.12651829518564156</v>
      </c>
      <c r="CH23" s="55">
        <v>0.26659912741225278</v>
      </c>
      <c r="CI23" s="190"/>
      <c r="CJ23" s="188"/>
      <c r="CK23" s="188"/>
      <c r="CL23" s="185"/>
      <c r="CM23" s="185"/>
      <c r="CN23" s="188"/>
      <c r="CO23" s="188"/>
      <c r="CP23" s="189"/>
      <c r="CR23" s="52">
        <f t="shared" si="2"/>
        <v>83.415501065164278</v>
      </c>
      <c r="CS23" s="187"/>
      <c r="CV23" s="188"/>
      <c r="CW23" s="188"/>
      <c r="CX23" s="188"/>
      <c r="CY23" s="188"/>
      <c r="CZ23" s="188"/>
      <c r="DA23" s="188"/>
      <c r="DC23" s="198"/>
      <c r="DD23" s="188"/>
      <c r="DE23" s="188"/>
      <c r="DF23" s="188"/>
      <c r="DH23" s="185"/>
      <c r="DI23" s="185"/>
      <c r="DJ23" s="197"/>
      <c r="DK23" s="185"/>
      <c r="DL23" s="185"/>
      <c r="DM23" s="197"/>
      <c r="DN23" s="196"/>
      <c r="DO23" s="185"/>
      <c r="DP23" s="197"/>
    </row>
    <row r="24" spans="1:120" x14ac:dyDescent="0.25">
      <c r="A24" s="66"/>
      <c r="B24" s="47"/>
      <c r="C24" s="11" t="s">
        <v>45</v>
      </c>
      <c r="D24" s="50" t="s">
        <v>68</v>
      </c>
      <c r="E24" s="10">
        <v>16</v>
      </c>
      <c r="F24" s="48">
        <v>1.5645118144771</v>
      </c>
      <c r="G24" s="48">
        <v>31.367542016078101</v>
      </c>
      <c r="H24" s="48">
        <v>20.069048739841399</v>
      </c>
      <c r="I24" s="48">
        <v>69.980802447456398</v>
      </c>
      <c r="J24" s="48">
        <v>1.5652477506399201</v>
      </c>
      <c r="K24" s="48">
        <v>238.492627387</v>
      </c>
      <c r="L24" s="48">
        <f t="shared" si="3"/>
        <v>300.48252375526738</v>
      </c>
      <c r="M24" s="48">
        <v>93.52</v>
      </c>
      <c r="N24" s="48">
        <v>44.7</v>
      </c>
      <c r="O24" s="58">
        <f t="shared" si="4"/>
        <v>2.2350000000000002E-2</v>
      </c>
      <c r="P24" s="48">
        <v>1</v>
      </c>
      <c r="Q24" s="57">
        <f t="shared" si="5"/>
        <v>0.99848613929354857</v>
      </c>
      <c r="R24" s="57">
        <v>-7.7000000000000002E-3</v>
      </c>
      <c r="S24" s="57">
        <f t="shared" si="6"/>
        <v>1.0022611328123716</v>
      </c>
      <c r="T24" s="48">
        <f t="shared" si="7"/>
        <v>1.5664120587169845</v>
      </c>
      <c r="U24" s="49">
        <f t="shared" si="8"/>
        <v>0.12145924513325983</v>
      </c>
      <c r="V24" s="6">
        <v>0.35</v>
      </c>
      <c r="W24" s="190"/>
      <c r="X24" s="188"/>
      <c r="Y24" s="188"/>
      <c r="Z24" s="185"/>
      <c r="AA24" s="185"/>
      <c r="AB24" s="188"/>
      <c r="AC24" s="188"/>
      <c r="AD24" s="189"/>
      <c r="AF24" s="52">
        <f t="shared" si="9"/>
        <v>80.520538565337986</v>
      </c>
      <c r="AG24" s="187"/>
      <c r="AI24" s="11" t="s">
        <v>45</v>
      </c>
      <c r="AJ24" s="177">
        <v>45805</v>
      </c>
      <c r="AK24" s="9"/>
      <c r="AL24" s="54">
        <v>1.525308018336158</v>
      </c>
      <c r="AM24" s="54">
        <v>31.046558712110688</v>
      </c>
      <c r="AN24" s="54">
        <v>21.039499754710143</v>
      </c>
      <c r="AO24" s="54">
        <v>68.629482296899994</v>
      </c>
      <c r="AP24" s="54">
        <v>1.5211618357487922</v>
      </c>
      <c r="AQ24" s="48">
        <v>239.625225148</v>
      </c>
      <c r="AR24" s="48">
        <f t="shared" si="58"/>
        <v>299.12716002213818</v>
      </c>
      <c r="AS24" s="48">
        <v>93.52</v>
      </c>
      <c r="AT24" s="48">
        <v>44.7</v>
      </c>
      <c r="AU24" s="58">
        <f t="shared" si="24"/>
        <v>2.2350000000000002E-2</v>
      </c>
      <c r="AV24" s="48">
        <v>1</v>
      </c>
      <c r="AW24" s="57">
        <f t="shared" si="109"/>
        <v>0.99850039470473084</v>
      </c>
      <c r="AX24" s="57">
        <v>-7.7000000000000002E-3</v>
      </c>
      <c r="AY24" s="57">
        <f t="shared" si="110"/>
        <v>1.0022363058155803</v>
      </c>
      <c r="AZ24" s="48">
        <f t="shared" si="111"/>
        <v>1.5222773751327761</v>
      </c>
      <c r="BA24" s="49">
        <f t="shared" si="112"/>
        <v>-0.19869057049132113</v>
      </c>
      <c r="BB24" s="6">
        <v>0.27</v>
      </c>
      <c r="BC24" s="190"/>
      <c r="BD24" s="188"/>
      <c r="BE24" s="188"/>
      <c r="BF24" s="185"/>
      <c r="BG24" s="185"/>
      <c r="BH24" s="188"/>
      <c r="BI24" s="188"/>
      <c r="BJ24" s="189"/>
      <c r="BL24" s="52">
        <f t="shared" si="33"/>
        <v>79.793441905986981</v>
      </c>
      <c r="BM24" s="187"/>
      <c r="BO24" s="11" t="s">
        <v>45</v>
      </c>
      <c r="BP24" s="50">
        <v>45670.56621527778</v>
      </c>
      <c r="BQ24" s="10">
        <v>5.3</v>
      </c>
      <c r="BR24" s="48">
        <v>1.5627951952620105</v>
      </c>
      <c r="BS24" s="48">
        <v>31.259612923144701</v>
      </c>
      <c r="BT24" s="48">
        <v>24.609868206521739</v>
      </c>
      <c r="BU24" s="48">
        <v>67.523419058885068</v>
      </c>
      <c r="BV24" s="48">
        <v>1.5634750134462094</v>
      </c>
      <c r="BW24" s="48">
        <v>242.21601037600001</v>
      </c>
      <c r="BX24" s="48">
        <f t="shared" si="10"/>
        <v>299.06181846792646</v>
      </c>
      <c r="BY24" s="48">
        <v>93.52</v>
      </c>
      <c r="BZ24" s="48">
        <v>44.7</v>
      </c>
      <c r="CA24" s="58">
        <f t="shared" si="11"/>
        <v>2.2350000000000002E-2</v>
      </c>
      <c r="CB24" s="48">
        <v>1</v>
      </c>
      <c r="CC24" s="57">
        <f t="shared" si="12"/>
        <v>0.99853225639027909</v>
      </c>
      <c r="CD24" s="57">
        <v>-7.7000000000000002E-3</v>
      </c>
      <c r="CE24" s="57">
        <f t="shared" si="13"/>
        <v>1.0022527847167901</v>
      </c>
      <c r="CF24" s="48">
        <f t="shared" si="35"/>
        <v>1.5646972359552918</v>
      </c>
      <c r="CG24" s="49">
        <f t="shared" si="14"/>
        <v>0.12170761076356987</v>
      </c>
      <c r="CH24" s="55">
        <v>0.24116441500030616</v>
      </c>
      <c r="CI24" s="190"/>
      <c r="CJ24" s="188"/>
      <c r="CK24" s="188"/>
      <c r="CL24" s="185"/>
      <c r="CM24" s="185"/>
      <c r="CN24" s="188"/>
      <c r="CO24" s="188"/>
      <c r="CP24" s="189"/>
      <c r="CR24" s="52">
        <f t="shared" si="2"/>
        <v>83.356413624403501</v>
      </c>
      <c r="CS24" s="187"/>
      <c r="CV24" s="188"/>
      <c r="CW24" s="188"/>
      <c r="CX24" s="188"/>
      <c r="CY24" s="188"/>
      <c r="CZ24" s="188"/>
      <c r="DA24" s="188"/>
      <c r="DC24" s="198"/>
      <c r="DD24" s="188"/>
      <c r="DE24" s="188"/>
      <c r="DF24" s="188"/>
      <c r="DH24" s="185"/>
      <c r="DI24" s="185"/>
      <c r="DJ24" s="197"/>
      <c r="DK24" s="185"/>
      <c r="DL24" s="185"/>
      <c r="DM24" s="197"/>
      <c r="DN24" s="196"/>
      <c r="DO24" s="185"/>
      <c r="DP24" s="197"/>
    </row>
    <row r="25" spans="1:120" x14ac:dyDescent="0.25">
      <c r="A25" s="66"/>
      <c r="B25" s="47"/>
      <c r="C25" s="11" t="s">
        <v>45</v>
      </c>
      <c r="D25" s="50" t="s">
        <v>69</v>
      </c>
      <c r="E25" s="10">
        <v>17</v>
      </c>
      <c r="F25" s="48">
        <v>0.78427458999494404</v>
      </c>
      <c r="G25" s="48">
        <v>31.3697896606207</v>
      </c>
      <c r="H25" s="48">
        <v>20.013490169958299</v>
      </c>
      <c r="I25" s="48">
        <v>70.013598182016295</v>
      </c>
      <c r="J25" s="48">
        <v>0.78452453158565005</v>
      </c>
      <c r="K25" s="48">
        <v>238.44350257900001</v>
      </c>
      <c r="L25" s="48">
        <f t="shared" si="3"/>
        <v>300.4540549872151</v>
      </c>
      <c r="M25" s="48">
        <v>93.52</v>
      </c>
      <c r="N25" s="48">
        <v>44.7</v>
      </c>
      <c r="O25" s="58">
        <f t="shared" si="4"/>
        <v>2.2350000000000002E-2</v>
      </c>
      <c r="P25" s="48">
        <v>1</v>
      </c>
      <c r="Q25" s="57">
        <f t="shared" si="5"/>
        <v>0.99848551639432426</v>
      </c>
      <c r="R25" s="57">
        <v>-7.7000000000000002E-3</v>
      </c>
      <c r="S25" s="57">
        <f t="shared" si="6"/>
        <v>1.0022613066645787</v>
      </c>
      <c r="T25" s="48">
        <f t="shared" si="7"/>
        <v>0.78510774582563692</v>
      </c>
      <c r="U25" s="49">
        <f t="shared" si="8"/>
        <v>0.10623266918519554</v>
      </c>
      <c r="V25" s="6">
        <v>0.35</v>
      </c>
      <c r="W25" s="190">
        <f t="shared" ref="W25" si="142">AVERAGE(U25:U27)</f>
        <v>0.10490170893416735</v>
      </c>
      <c r="X25" s="188">
        <f t="shared" ref="X25" si="143">STDEV(U25:U27)</f>
        <v>1.5785810992407057E-2</v>
      </c>
      <c r="Y25" s="188">
        <f t="shared" ref="Y25" si="144">COUNT(V25:V27)</f>
        <v>3</v>
      </c>
      <c r="Z25" s="185">
        <f t="shared" ref="Z25" si="145">TINV(0.05,Y25-1)</f>
        <v>4.3026527297494637</v>
      </c>
      <c r="AA25" s="185">
        <f t="shared" ref="AA25" si="146">X25*Z25/SQRT(Y25)</f>
        <v>3.9214128396801294E-2</v>
      </c>
      <c r="AB25" s="188">
        <f t="shared" ref="AB25" si="147">AVERAGE(V25:V27)</f>
        <v>0.34999999999999992</v>
      </c>
      <c r="AC25" s="188">
        <f t="shared" ref="AC25" si="148">SQRT(AA25^2+AB25^2)</f>
        <v>0.35218993152263844</v>
      </c>
      <c r="AD25" s="189">
        <f t="shared" ref="AD25" si="149">AVERAGE(F25:F27)</f>
        <v>0.78419226356274019</v>
      </c>
      <c r="AF25" s="52">
        <f t="shared" si="9"/>
        <v>40.339139639216363</v>
      </c>
      <c r="AG25" s="187">
        <f t="shared" ref="AG25" si="150">AVERAGE(AF25:AF27)</f>
        <v>40.338828844513593</v>
      </c>
      <c r="AI25" s="11" t="s">
        <v>45</v>
      </c>
      <c r="AJ25" s="53"/>
      <c r="AK25" s="9"/>
      <c r="AL25" s="54"/>
      <c r="AM25" s="54"/>
      <c r="AN25" s="54"/>
      <c r="AO25" s="54"/>
      <c r="AP25" s="54"/>
      <c r="AQ25" s="48"/>
      <c r="AR25" s="48"/>
      <c r="AS25" s="48"/>
      <c r="AT25" s="48"/>
      <c r="AU25" s="58"/>
      <c r="AV25" s="48"/>
      <c r="AW25" s="57"/>
      <c r="AX25" s="57"/>
      <c r="AY25" s="57"/>
      <c r="AZ25" s="48"/>
      <c r="BA25" s="49"/>
      <c r="BB25" s="6"/>
      <c r="BC25" s="190"/>
      <c r="BD25" s="188"/>
      <c r="BE25" s="188"/>
      <c r="BF25" s="185"/>
      <c r="BG25" s="185"/>
      <c r="BH25" s="188"/>
      <c r="BI25" s="188"/>
      <c r="BJ25" s="189"/>
      <c r="BL25" s="52"/>
      <c r="BM25" s="187"/>
      <c r="BO25" s="11" t="s">
        <v>45</v>
      </c>
      <c r="BP25" s="50">
        <v>45670.591099537036</v>
      </c>
      <c r="BQ25" s="10">
        <v>8.1</v>
      </c>
      <c r="BR25" s="48">
        <v>0.64658753776819833</v>
      </c>
      <c r="BS25" s="48">
        <v>31.503768193860864</v>
      </c>
      <c r="BT25" s="48">
        <v>24.397863954051797</v>
      </c>
      <c r="BU25" s="48">
        <v>68.259315035754128</v>
      </c>
      <c r="BV25" s="48">
        <v>0.64662772104961475</v>
      </c>
      <c r="BW25" s="48">
        <v>241.81157893899999</v>
      </c>
      <c r="BX25" s="48">
        <f t="shared" si="10"/>
        <v>298.95533389152939</v>
      </c>
      <c r="BY25" s="48">
        <v>93.52</v>
      </c>
      <c r="BZ25" s="48">
        <v>44.7</v>
      </c>
      <c r="CA25" s="58">
        <f t="shared" si="11"/>
        <v>2.2350000000000002E-2</v>
      </c>
      <c r="CB25" s="48">
        <v>1</v>
      </c>
      <c r="CC25" s="57">
        <f t="shared" si="12"/>
        <v>0.99852734989934444</v>
      </c>
      <c r="CD25" s="57">
        <v>-7.7000000000000002E-3</v>
      </c>
      <c r="CE25" s="57">
        <f t="shared" si="13"/>
        <v>1.0022716698283913</v>
      </c>
      <c r="CF25" s="48">
        <f t="shared" si="35"/>
        <v>0.64714222614315031</v>
      </c>
      <c r="CG25" s="49">
        <f t="shared" si="14"/>
        <v>8.5787050097900219E-2</v>
      </c>
      <c r="CH25" s="55">
        <v>0.22625065743316986</v>
      </c>
      <c r="CI25" s="190">
        <f t="shared" ref="CI25" si="151">AVERAGE(CG25:CG27)</f>
        <v>4.9888015477662813E-2</v>
      </c>
      <c r="CJ25" s="188">
        <f t="shared" ref="CJ25" si="152">STDEV(CG25:CG27)</f>
        <v>3.1374435158910259E-2</v>
      </c>
      <c r="CK25" s="188">
        <f t="shared" ref="CK25" si="153">COUNT(CH25:CH27)</f>
        <v>3</v>
      </c>
      <c r="CL25" s="185">
        <f t="shared" ref="CL25" si="154">TINV(0.05,CK25-1)</f>
        <v>4.3026527297494637</v>
      </c>
      <c r="CM25" s="185">
        <f t="shared" ref="CM25" si="155">CJ25*CL25/SQRT(CK25)</f>
        <v>7.7938417563114468E-2</v>
      </c>
      <c r="CN25" s="188">
        <f t="shared" ref="CN25" si="156">AVERAGE(CH25:CH27)</f>
        <v>0.22621061202669865</v>
      </c>
      <c r="CO25" s="188">
        <f t="shared" ref="CO25" si="157">SQRT(CM25^2+CN25^2)</f>
        <v>0.23926060671522165</v>
      </c>
      <c r="CP25" s="189">
        <f>AVERAGE(BR25:BR27)</f>
        <v>0.64656619973792362</v>
      </c>
      <c r="CR25" s="52">
        <f t="shared" si="2"/>
        <v>34.10318129561194</v>
      </c>
      <c r="CS25" s="187">
        <f t="shared" ref="CS25" si="158">AVERAGE(CR25:CR27)</f>
        <v>34.098350776004828</v>
      </c>
      <c r="CV25" s="188">
        <f>W25*CW25</f>
        <v>0.84572406980140757</v>
      </c>
      <c r="CW25" s="188">
        <f>1/AC25^2</f>
        <v>8.0620618900703942</v>
      </c>
      <c r="CX25" s="188"/>
      <c r="CY25" s="188"/>
      <c r="CZ25" s="188">
        <f t="shared" ref="CZ25" si="159">CI25*DA25</f>
        <v>0.87147278439593767</v>
      </c>
      <c r="DA25" s="188">
        <f t="shared" ref="DA25" si="160">1/CO25^2</f>
        <v>17.468579899437703</v>
      </c>
      <c r="DC25" s="198">
        <f>AVERAGE(AD25,BJ25,CP25)</f>
        <v>0.7153792316503319</v>
      </c>
      <c r="DD25" s="188">
        <f t="shared" ref="DD25" si="161">SUM(CV25,CX25,CZ25)/SUM(CW25,CY25,DA25)</f>
        <v>6.7260230602703974E-2</v>
      </c>
      <c r="DE25" s="188">
        <f t="shared" ref="DE25" si="162">SUM(CW25,CY25,DA25)</f>
        <v>25.530641789508095</v>
      </c>
      <c r="DF25" s="188">
        <f t="shared" ref="DF25" si="163">SQRT(DE25^-1)</f>
        <v>0.19791063574532924</v>
      </c>
      <c r="DH25" s="185">
        <f>W25-DD25</f>
        <v>3.7641478331463377E-2</v>
      </c>
      <c r="DI25" s="185">
        <f>SQRT(AC25^2-DF25^2)</f>
        <v>0.29132306486922788</v>
      </c>
      <c r="DJ25" s="197">
        <f t="shared" ref="DJ25" si="164">ABS(DH25/DI25)</f>
        <v>0.12920871318019489</v>
      </c>
      <c r="DK25" s="185"/>
      <c r="DL25" s="185"/>
      <c r="DM25" s="197"/>
      <c r="DN25" s="196">
        <f t="shared" ref="DN25" si="165">CI25-DD25</f>
        <v>-1.7372215125041161E-2</v>
      </c>
      <c r="DO25" s="185">
        <f t="shared" ref="DO25" si="166">SQRT(CO25^2-DF25^2)</f>
        <v>0.13445080209733065</v>
      </c>
      <c r="DP25" s="197">
        <f t="shared" ref="DP25" si="167">ABS(DN25/DO25)</f>
        <v>0.12920871318019503</v>
      </c>
    </row>
    <row r="26" spans="1:120" x14ac:dyDescent="0.25">
      <c r="A26" s="66"/>
      <c r="B26" s="47"/>
      <c r="C26" s="11" t="s">
        <v>45</v>
      </c>
      <c r="D26" s="50" t="s">
        <v>70</v>
      </c>
      <c r="E26" s="10">
        <v>18</v>
      </c>
      <c r="F26" s="48">
        <v>0.78429672534315698</v>
      </c>
      <c r="G26" s="48">
        <v>31.3582644542909</v>
      </c>
      <c r="H26" s="48">
        <v>19.959105843570601</v>
      </c>
      <c r="I26" s="48">
        <v>70.006850068204599</v>
      </c>
      <c r="J26" s="48">
        <v>0.78440863856103404</v>
      </c>
      <c r="K26" s="48">
        <v>238.41353603499999</v>
      </c>
      <c r="L26" s="48">
        <f>SQRT(($E$5)*8.314*(H26+273.15)/($E$6/1000))</f>
        <v>300.4261853004856</v>
      </c>
      <c r="M26" s="48">
        <v>93.52</v>
      </c>
      <c r="N26" s="48">
        <v>44.7</v>
      </c>
      <c r="O26" s="58">
        <f t="shared" si="4"/>
        <v>2.2350000000000002E-2</v>
      </c>
      <c r="P26" s="48">
        <v>1</v>
      </c>
      <c r="Q26" s="57">
        <f t="shared" si="5"/>
        <v>0.99848513623187285</v>
      </c>
      <c r="R26" s="57">
        <v>-7.7000000000000002E-3</v>
      </c>
      <c r="S26" s="57">
        <f t="shared" si="6"/>
        <v>1.0022604152063943</v>
      </c>
      <c r="T26" s="48">
        <f t="shared" si="7"/>
        <v>0.78499076956109348</v>
      </c>
      <c r="U26" s="49">
        <f t="shared" si="8"/>
        <v>8.8492555879643456E-2</v>
      </c>
      <c r="V26" s="6">
        <v>0.35</v>
      </c>
      <c r="W26" s="190"/>
      <c r="X26" s="188"/>
      <c r="Y26" s="188"/>
      <c r="Z26" s="185"/>
      <c r="AA26" s="185"/>
      <c r="AB26" s="188"/>
      <c r="AC26" s="188"/>
      <c r="AD26" s="189"/>
      <c r="AF26" s="52">
        <f t="shared" si="9"/>
        <v>40.337068387858466</v>
      </c>
      <c r="AG26" s="187"/>
      <c r="AI26" s="11" t="s">
        <v>45</v>
      </c>
      <c r="AJ26" s="53"/>
      <c r="AK26" s="9"/>
      <c r="AL26" s="54"/>
      <c r="AM26" s="54"/>
      <c r="AN26" s="54"/>
      <c r="AO26" s="54"/>
      <c r="AP26" s="54"/>
      <c r="AQ26" s="48"/>
      <c r="AR26" s="48"/>
      <c r="AS26" s="48"/>
      <c r="AT26" s="48"/>
      <c r="AU26" s="58"/>
      <c r="AV26" s="48"/>
      <c r="AW26" s="57"/>
      <c r="AX26" s="57"/>
      <c r="AY26" s="57"/>
      <c r="AZ26" s="48"/>
      <c r="BA26" s="49"/>
      <c r="BB26" s="6"/>
      <c r="BC26" s="190"/>
      <c r="BD26" s="188"/>
      <c r="BE26" s="188"/>
      <c r="BF26" s="185"/>
      <c r="BG26" s="185"/>
      <c r="BH26" s="188"/>
      <c r="BI26" s="188"/>
      <c r="BJ26" s="189"/>
      <c r="BL26" s="52"/>
      <c r="BM26" s="187"/>
      <c r="BO26" s="11" t="s">
        <v>45</v>
      </c>
      <c r="BP26" s="50">
        <v>45670.592719907407</v>
      </c>
      <c r="BQ26" s="10">
        <v>8.1999999999999993</v>
      </c>
      <c r="BR26" s="48">
        <v>0.64666303858239693</v>
      </c>
      <c r="BS26" s="48">
        <v>31.508868394073442</v>
      </c>
      <c r="BT26" s="48">
        <v>24.459765076086956</v>
      </c>
      <c r="BU26" s="48">
        <v>68.248846419046274</v>
      </c>
      <c r="BV26" s="48">
        <v>0.64638200279798397</v>
      </c>
      <c r="BW26" s="48">
        <v>241.84820599</v>
      </c>
      <c r="BX26" s="48">
        <f t="shared" si="10"/>
        <v>298.98642923866447</v>
      </c>
      <c r="BY26" s="48">
        <v>93.52</v>
      </c>
      <c r="BZ26" s="48">
        <v>44.7</v>
      </c>
      <c r="CA26" s="58">
        <f t="shared" si="11"/>
        <v>2.2350000000000002E-2</v>
      </c>
      <c r="CB26" s="48">
        <v>1</v>
      </c>
      <c r="CC26" s="57">
        <f t="shared" si="12"/>
        <v>0.99852779526417745</v>
      </c>
      <c r="CD26" s="57">
        <v>-7.7000000000000002E-3</v>
      </c>
      <c r="CE26" s="57">
        <f t="shared" si="13"/>
        <v>1.0022720643302292</v>
      </c>
      <c r="CF26" s="48">
        <f t="shared" si="35"/>
        <v>0.64689685553305776</v>
      </c>
      <c r="CG26" s="49">
        <f t="shared" si="14"/>
        <v>3.6157463270731376E-2</v>
      </c>
      <c r="CH26" s="55">
        <v>0.22604388456620397</v>
      </c>
      <c r="CI26" s="190"/>
      <c r="CJ26" s="188"/>
      <c r="CK26" s="188"/>
      <c r="CL26" s="185"/>
      <c r="CM26" s="185"/>
      <c r="CN26" s="188"/>
      <c r="CO26" s="188"/>
      <c r="CP26" s="189"/>
      <c r="CR26" s="52">
        <f t="shared" si="2"/>
        <v>34.095451163894701</v>
      </c>
      <c r="CS26" s="187"/>
      <c r="CV26" s="188"/>
      <c r="CW26" s="188"/>
      <c r="CX26" s="188"/>
      <c r="CY26" s="188"/>
      <c r="CZ26" s="188"/>
      <c r="DA26" s="188"/>
      <c r="DC26" s="198"/>
      <c r="DD26" s="188"/>
      <c r="DE26" s="188"/>
      <c r="DF26" s="188"/>
      <c r="DH26" s="185"/>
      <c r="DI26" s="185"/>
      <c r="DJ26" s="197"/>
      <c r="DK26" s="185"/>
      <c r="DL26" s="185"/>
      <c r="DM26" s="197"/>
      <c r="DN26" s="196"/>
      <c r="DO26" s="185"/>
      <c r="DP26" s="197"/>
    </row>
    <row r="27" spans="1:120" x14ac:dyDescent="0.25">
      <c r="A27" s="66"/>
      <c r="B27" s="47"/>
      <c r="C27" s="11" t="s">
        <v>45</v>
      </c>
      <c r="D27" s="50" t="s">
        <v>71</v>
      </c>
      <c r="E27" s="10">
        <v>19</v>
      </c>
      <c r="F27" s="48">
        <v>0.78400547535012</v>
      </c>
      <c r="G27" s="48">
        <v>31.351786472823999</v>
      </c>
      <c r="H27" s="48">
        <v>19.9399520759005</v>
      </c>
      <c r="I27" s="48">
        <v>69.997337766486595</v>
      </c>
      <c r="J27" s="48">
        <v>0.78436447228089901</v>
      </c>
      <c r="K27" s="48">
        <v>238.40814923299999</v>
      </c>
      <c r="L27" s="48">
        <f t="shared" si="3"/>
        <v>300.41636918210185</v>
      </c>
      <c r="M27" s="48">
        <v>93.52</v>
      </c>
      <c r="N27" s="48">
        <v>44.7</v>
      </c>
      <c r="O27" s="58">
        <f t="shared" si="4"/>
        <v>2.2350000000000002E-2</v>
      </c>
      <c r="P27" s="48">
        <v>1</v>
      </c>
      <c r="Q27" s="57">
        <f t="shared" si="5"/>
        <v>0.99848506787849678</v>
      </c>
      <c r="R27" s="57">
        <v>-7.7000000000000002E-3</v>
      </c>
      <c r="S27" s="57">
        <f t="shared" si="6"/>
        <v>1.0022599141445123</v>
      </c>
      <c r="T27" s="48">
        <f t="shared" si="7"/>
        <v>0.78494612434906297</v>
      </c>
      <c r="U27" s="49">
        <f t="shared" si="8"/>
        <v>0.11997990173766308</v>
      </c>
      <c r="V27" s="6">
        <v>0.35</v>
      </c>
      <c r="W27" s="190"/>
      <c r="X27" s="188"/>
      <c r="Y27" s="188"/>
      <c r="Z27" s="185"/>
      <c r="AA27" s="185"/>
      <c r="AB27" s="188"/>
      <c r="AC27" s="188"/>
      <c r="AD27" s="189"/>
      <c r="AF27" s="52">
        <f t="shared" si="9"/>
        <v>40.34027850646595</v>
      </c>
      <c r="AG27" s="187"/>
      <c r="AI27" s="11" t="s">
        <v>45</v>
      </c>
      <c r="AJ27" s="53"/>
      <c r="AK27" s="9"/>
      <c r="AL27" s="54"/>
      <c r="AM27" s="54"/>
      <c r="AN27" s="54"/>
      <c r="AO27" s="54"/>
      <c r="AP27" s="54"/>
      <c r="AQ27" s="48"/>
      <c r="AR27" s="48"/>
      <c r="AS27" s="48"/>
      <c r="AT27" s="48"/>
      <c r="AU27" s="58"/>
      <c r="AV27" s="48"/>
      <c r="AW27" s="57"/>
      <c r="AX27" s="57"/>
      <c r="AY27" s="57"/>
      <c r="AZ27" s="48"/>
      <c r="BA27" s="49"/>
      <c r="BB27" s="6"/>
      <c r="BC27" s="190"/>
      <c r="BD27" s="188"/>
      <c r="BE27" s="188"/>
      <c r="BF27" s="185"/>
      <c r="BG27" s="185"/>
      <c r="BH27" s="188"/>
      <c r="BI27" s="188"/>
      <c r="BJ27" s="189"/>
      <c r="BL27" s="52"/>
      <c r="BM27" s="187"/>
      <c r="BO27" s="11" t="s">
        <v>45</v>
      </c>
      <c r="BP27" s="50">
        <v>45670.594236111108</v>
      </c>
      <c r="BQ27" s="10">
        <v>8.3000000000000007</v>
      </c>
      <c r="BR27" s="48">
        <v>0.64644802286317571</v>
      </c>
      <c r="BS27" s="48">
        <v>31.505510465915535</v>
      </c>
      <c r="BT27" s="48">
        <v>24.503731456521741</v>
      </c>
      <c r="BU27" s="48">
        <v>68.218452489750916</v>
      </c>
      <c r="BV27" s="48">
        <v>0.64611249968622264</v>
      </c>
      <c r="BW27" s="48">
        <v>241.879339652</v>
      </c>
      <c r="BX27" s="48">
        <f t="shared" si="10"/>
        <v>299.00851330171452</v>
      </c>
      <c r="BY27" s="48">
        <v>93.52</v>
      </c>
      <c r="BZ27" s="48">
        <v>44.7</v>
      </c>
      <c r="CA27" s="58">
        <f t="shared" si="11"/>
        <v>2.2350000000000002E-2</v>
      </c>
      <c r="CB27" s="48">
        <v>1</v>
      </c>
      <c r="CC27" s="57">
        <f t="shared" si="12"/>
        <v>0.9985281736736592</v>
      </c>
      <c r="CD27" s="57">
        <v>-7.7000000000000002E-3</v>
      </c>
      <c r="CE27" s="57">
        <f t="shared" si="13"/>
        <v>1.0022718045935615</v>
      </c>
      <c r="CF27" s="48">
        <f t="shared" si="35"/>
        <v>0.64662721523661715</v>
      </c>
      <c r="CG27" s="49">
        <f t="shared" si="14"/>
        <v>2.7719533064356851E-2</v>
      </c>
      <c r="CH27" s="55">
        <v>0.22633729408072215</v>
      </c>
      <c r="CI27" s="190"/>
      <c r="CJ27" s="188"/>
      <c r="CK27" s="188"/>
      <c r="CL27" s="185"/>
      <c r="CM27" s="185"/>
      <c r="CN27" s="188"/>
      <c r="CO27" s="188"/>
      <c r="CP27" s="189"/>
      <c r="CR27" s="52">
        <f t="shared" si="2"/>
        <v>34.096419868507844</v>
      </c>
      <c r="CS27" s="187"/>
      <c r="CV27" s="188"/>
      <c r="CW27" s="188"/>
      <c r="CX27" s="188"/>
      <c r="CY27" s="188"/>
      <c r="CZ27" s="188"/>
      <c r="DA27" s="188"/>
      <c r="DC27" s="198"/>
      <c r="DD27" s="188"/>
      <c r="DE27" s="188"/>
      <c r="DF27" s="188"/>
      <c r="DH27" s="185"/>
      <c r="DI27" s="185"/>
      <c r="DJ27" s="197"/>
      <c r="DK27" s="185"/>
      <c r="DL27" s="185"/>
      <c r="DM27" s="197"/>
      <c r="DN27" s="196"/>
      <c r="DO27" s="185"/>
      <c r="DP27" s="197"/>
    </row>
    <row r="28" spans="1:120" x14ac:dyDescent="0.25">
      <c r="A28" s="66"/>
      <c r="B28" s="47"/>
      <c r="C28" s="11" t="s">
        <v>45</v>
      </c>
      <c r="D28" s="50" t="s">
        <v>72</v>
      </c>
      <c r="E28" s="10">
        <v>20</v>
      </c>
      <c r="F28" s="48">
        <v>0.39744932339227002</v>
      </c>
      <c r="G28" s="48">
        <v>31.3532634034868</v>
      </c>
      <c r="H28" s="48">
        <v>19.870076826137101</v>
      </c>
      <c r="I28" s="48">
        <v>70.034939378312302</v>
      </c>
      <c r="J28" s="48">
        <v>0.39816272930178198</v>
      </c>
      <c r="K28" s="48">
        <v>238.350767945</v>
      </c>
      <c r="L28" s="48">
        <f t="shared" si="3"/>
        <v>300.38055608107231</v>
      </c>
      <c r="M28" s="48">
        <v>93.52</v>
      </c>
      <c r="N28" s="48">
        <v>44.7</v>
      </c>
      <c r="O28" s="58">
        <f t="shared" si="4"/>
        <v>2.2350000000000002E-2</v>
      </c>
      <c r="P28" s="48">
        <v>1</v>
      </c>
      <c r="Q28" s="57">
        <f t="shared" si="5"/>
        <v>0.9984843394776568</v>
      </c>
      <c r="R28" s="57">
        <v>-7.7000000000000002E-3</v>
      </c>
      <c r="S28" s="57">
        <f t="shared" si="6"/>
        <v>1.0022600283827787</v>
      </c>
      <c r="T28" s="48">
        <f t="shared" si="7"/>
        <v>0.39845774495983066</v>
      </c>
      <c r="U28" s="49">
        <f t="shared" si="8"/>
        <v>0.2537233071511274</v>
      </c>
      <c r="V28" s="6">
        <v>0.35</v>
      </c>
      <c r="W28" s="190">
        <f>AVERAGE(U28:U30)</f>
        <v>0.3108268345986861</v>
      </c>
      <c r="X28" s="188">
        <f t="shared" ref="X28" si="168">STDEV(U28:U30)</f>
        <v>4.9575714473189189E-2</v>
      </c>
      <c r="Y28" s="188">
        <f t="shared" ref="Y28" si="169">COUNT(V28:V30)</f>
        <v>3</v>
      </c>
      <c r="Z28" s="185">
        <f t="shared" ref="Z28" si="170">TINV(0.05,Y28-1)</f>
        <v>4.3026527297494637</v>
      </c>
      <c r="AA28" s="185">
        <f t="shared" ref="AA28" si="171">X28*Z28/SQRT(Y28)</f>
        <v>0.12315290190981595</v>
      </c>
      <c r="AB28" s="188">
        <f t="shared" ref="AB28" si="172">AVERAGE(V28:V30)</f>
        <v>0.34999999999999992</v>
      </c>
      <c r="AC28" s="188">
        <f t="shared" ref="AC28" si="173">SQRT(AA28^2+AB28^2)</f>
        <v>0.37103454993950186</v>
      </c>
      <c r="AD28" s="189">
        <f t="shared" ref="AD28" si="174">AVERAGE(F28:F30)</f>
        <v>0.39579488214526864</v>
      </c>
      <c r="AF28" s="52">
        <f t="shared" si="9"/>
        <v>20.466724726405506</v>
      </c>
      <c r="AG28" s="187">
        <f t="shared" ref="AG28" si="175">AVERAGE(AF28:AF30)</f>
        <v>20.385773224996093</v>
      </c>
      <c r="AI28" s="11" t="s">
        <v>45</v>
      </c>
      <c r="AJ28" s="53"/>
      <c r="AK28" s="9"/>
      <c r="AL28" s="54"/>
      <c r="AM28" s="54"/>
      <c r="AN28" s="54"/>
      <c r="AO28" s="54"/>
      <c r="AP28" s="54"/>
      <c r="AQ28" s="48"/>
      <c r="AR28" s="48"/>
      <c r="AS28" s="48"/>
      <c r="AT28" s="48"/>
      <c r="AU28" s="58"/>
      <c r="AV28" s="48"/>
      <c r="AW28" s="57"/>
      <c r="AX28" s="57"/>
      <c r="AY28" s="57"/>
      <c r="AZ28" s="48"/>
      <c r="BA28" s="49"/>
      <c r="BB28" s="6"/>
      <c r="BC28" s="190"/>
      <c r="BD28" s="188"/>
      <c r="BE28" s="188"/>
      <c r="BF28" s="185"/>
      <c r="BG28" s="185"/>
      <c r="BH28" s="188"/>
      <c r="BI28" s="188"/>
      <c r="BJ28" s="189"/>
      <c r="BL28" s="52"/>
      <c r="BM28" s="187"/>
      <c r="BO28" s="11" t="s">
        <v>45</v>
      </c>
      <c r="BP28" s="50">
        <v>45670.597268518519</v>
      </c>
      <c r="BQ28" s="10">
        <v>9.1</v>
      </c>
      <c r="BR28" s="48">
        <v>0.46330229714945664</v>
      </c>
      <c r="BS28" s="48">
        <v>31.526816333719214</v>
      </c>
      <c r="BT28" s="48">
        <v>24.512777960735171</v>
      </c>
      <c r="BU28" s="48">
        <v>68.266903987112684</v>
      </c>
      <c r="BV28" s="48">
        <v>0.46286751227095513</v>
      </c>
      <c r="BW28" s="48">
        <v>241.86695838899999</v>
      </c>
      <c r="BX28" s="48">
        <f t="shared" si="10"/>
        <v>299.01305710704423</v>
      </c>
      <c r="BY28" s="48">
        <v>93.52</v>
      </c>
      <c r="BZ28" s="48">
        <v>44.7</v>
      </c>
      <c r="CA28" s="58">
        <f t="shared" si="11"/>
        <v>2.2350000000000002E-2</v>
      </c>
      <c r="CB28" s="48">
        <v>1</v>
      </c>
      <c r="CC28" s="57">
        <f t="shared" si="12"/>
        <v>0.99852802320489942</v>
      </c>
      <c r="CD28" s="57">
        <v>-7.7000000000000002E-3</v>
      </c>
      <c r="CE28" s="57">
        <f t="shared" si="13"/>
        <v>1.0022734526105856</v>
      </c>
      <c r="CF28" s="48">
        <f t="shared" si="35"/>
        <v>0.46323694041580749</v>
      </c>
      <c r="CG28" s="49">
        <f t="shared" si="14"/>
        <v>-1.4106714784553382E-2</v>
      </c>
      <c r="CH28" s="55">
        <v>0.22296937735062639</v>
      </c>
      <c r="CI28" s="190">
        <f>AVERAGE(CG28:CG30)</f>
        <v>-3.8328310445799617E-2</v>
      </c>
      <c r="CJ28" s="188">
        <f t="shared" ref="CJ28" si="176">STDEV(CG28:CG30)</f>
        <v>2.0991684380018021E-2</v>
      </c>
      <c r="CK28" s="188">
        <f t="shared" ref="CK28" si="177">COUNT(CH28:CH30)</f>
        <v>3</v>
      </c>
      <c r="CL28" s="185">
        <f t="shared" ref="CL28" si="178">TINV(0.05,CK28-1)</f>
        <v>4.3026527297494637</v>
      </c>
      <c r="CM28" s="185">
        <f t="shared" ref="CM28" si="179">CJ28*CL28/SQRT(CK28)</f>
        <v>5.2146234801563128E-2</v>
      </c>
      <c r="CN28" s="188">
        <f t="shared" ref="CN28" si="180">AVERAGE(CH28:CH30)</f>
        <v>0.22326373955990375</v>
      </c>
      <c r="CO28" s="188">
        <f t="shared" ref="CO28" si="181">SQRT(CM28^2+CN28^2)</f>
        <v>0.22927260456987067</v>
      </c>
      <c r="CP28" s="189">
        <f>AVERAGE(BR28:BR30)</f>
        <v>0.46331714973191929</v>
      </c>
      <c r="CR28" s="52">
        <f t="shared" si="2"/>
        <v>24.40894411280178</v>
      </c>
      <c r="CS28" s="187">
        <f t="shared" ref="CS28" si="182">AVERAGE(CR28:CR30)</f>
        <v>24.401201555276842</v>
      </c>
      <c r="CV28" s="188">
        <f>W28*CW28</f>
        <v>2.2578225255616595</v>
      </c>
      <c r="CW28" s="188">
        <f>1/AC28^2</f>
        <v>7.2639240703807744</v>
      </c>
      <c r="CX28" s="188"/>
      <c r="CY28" s="188"/>
      <c r="CZ28" s="188">
        <f t="shared" ref="CZ28" si="183">CI28*DA28</f>
        <v>-0.72914742463138338</v>
      </c>
      <c r="DA28" s="188">
        <f t="shared" ref="DA28" si="184">1/CO28^2</f>
        <v>19.023729878792253</v>
      </c>
      <c r="DC28" s="198">
        <f>AVERAGE(AD28,BJ28,CP28)</f>
        <v>0.42955601593859394</v>
      </c>
      <c r="DD28" s="188">
        <f t="shared" ref="DD28" si="185">SUM(CV28,CX28,CZ28)/SUM(CW28,CY28,DA28)</f>
        <v>5.8151826857046944E-2</v>
      </c>
      <c r="DE28" s="188">
        <f t="shared" ref="DE28" si="186">SUM(CW28,CY28,DA28)</f>
        <v>26.287653949173027</v>
      </c>
      <c r="DF28" s="188">
        <f t="shared" ref="DF28" si="187">SQRT(DE28^-1)</f>
        <v>0.19504017837610924</v>
      </c>
      <c r="DH28" s="185">
        <f>W28-DD28</f>
        <v>0.25267500774163915</v>
      </c>
      <c r="DI28" s="185">
        <f>SQRT(AC28^2-DF28^2)</f>
        <v>0.31563581239749111</v>
      </c>
      <c r="DJ28" s="197">
        <f t="shared" ref="DJ28" si="188">ABS(DH28/DI28)</f>
        <v>0.8005270562373219</v>
      </c>
      <c r="DK28" s="185"/>
      <c r="DL28" s="185"/>
      <c r="DM28" s="197"/>
      <c r="DN28" s="196">
        <f t="shared" ref="DN28" si="189">CI28-DD28</f>
        <v>-9.6480137302846561E-2</v>
      </c>
      <c r="DO28" s="185">
        <f t="shared" ref="DO28" si="190">SQRT(CO28^2-DF28^2)</f>
        <v>0.12052077009904877</v>
      </c>
      <c r="DP28" s="197">
        <f t="shared" ref="DP28" si="191">ABS(DN28/DO28)</f>
        <v>0.8005270562373219</v>
      </c>
    </row>
    <row r="29" spans="1:120" x14ac:dyDescent="0.25">
      <c r="A29" s="66"/>
      <c r="B29" s="47"/>
      <c r="C29" s="11" t="s">
        <v>45</v>
      </c>
      <c r="D29" s="50" t="s">
        <v>73</v>
      </c>
      <c r="E29" s="10">
        <v>21</v>
      </c>
      <c r="F29" s="48">
        <v>0.39541552663185198</v>
      </c>
      <c r="G29" s="48">
        <v>31.364544364140301</v>
      </c>
      <c r="H29" s="48">
        <v>19.867981541751501</v>
      </c>
      <c r="I29" s="48">
        <v>70.068402269919403</v>
      </c>
      <c r="J29" s="48">
        <v>0.39647720400412001</v>
      </c>
      <c r="K29" s="48">
        <v>238.33974947600001</v>
      </c>
      <c r="L29" s="48">
        <f t="shared" si="3"/>
        <v>300.37948212084939</v>
      </c>
      <c r="M29" s="48">
        <v>93.52</v>
      </c>
      <c r="N29" s="48">
        <v>44.7</v>
      </c>
      <c r="O29" s="58">
        <f t="shared" si="4"/>
        <v>2.2350000000000002E-2</v>
      </c>
      <c r="P29" s="48">
        <v>1</v>
      </c>
      <c r="Q29" s="57">
        <f t="shared" si="5"/>
        <v>0.99848419954858758</v>
      </c>
      <c r="R29" s="57">
        <v>-7.7000000000000002E-3</v>
      </c>
      <c r="S29" s="57">
        <f t="shared" si="6"/>
        <v>1.0022609009482202</v>
      </c>
      <c r="T29" s="48">
        <f t="shared" si="7"/>
        <v>0.39677126060881018</v>
      </c>
      <c r="U29" s="49">
        <f t="shared" si="8"/>
        <v>0.34286311124561641</v>
      </c>
      <c r="V29" s="6">
        <v>0.35</v>
      </c>
      <c r="W29" s="190"/>
      <c r="X29" s="188"/>
      <c r="Y29" s="188"/>
      <c r="Z29" s="185"/>
      <c r="AA29" s="185"/>
      <c r="AB29" s="188"/>
      <c r="AC29" s="188"/>
      <c r="AD29" s="189"/>
      <c r="AF29" s="52">
        <f t="shared" si="9"/>
        <v>20.37035080258401</v>
      </c>
      <c r="AG29" s="187"/>
      <c r="AI29" s="11" t="s">
        <v>45</v>
      </c>
      <c r="AJ29" s="53"/>
      <c r="AK29" s="9"/>
      <c r="AL29" s="54"/>
      <c r="AM29" s="54"/>
      <c r="AN29" s="54"/>
      <c r="AO29" s="54"/>
      <c r="AP29" s="54"/>
      <c r="AQ29" s="48"/>
      <c r="AR29" s="48"/>
      <c r="AS29" s="48"/>
      <c r="AT29" s="48"/>
      <c r="AU29" s="58"/>
      <c r="AV29" s="48"/>
      <c r="AW29" s="57"/>
      <c r="AX29" s="57"/>
      <c r="AY29" s="57"/>
      <c r="AZ29" s="48"/>
      <c r="BA29" s="49"/>
      <c r="BB29" s="6"/>
      <c r="BC29" s="190"/>
      <c r="BD29" s="188"/>
      <c r="BE29" s="188"/>
      <c r="BF29" s="185"/>
      <c r="BG29" s="185"/>
      <c r="BH29" s="188"/>
      <c r="BI29" s="188"/>
      <c r="BJ29" s="189"/>
      <c r="BL29" s="52"/>
      <c r="BM29" s="187"/>
      <c r="BO29" s="11" t="s">
        <v>45</v>
      </c>
      <c r="BP29" s="50">
        <v>45670.599374999998</v>
      </c>
      <c r="BQ29" s="10">
        <v>9.1999999999999993</v>
      </c>
      <c r="BR29" s="48">
        <v>0.46337916011960995</v>
      </c>
      <c r="BS29" s="48">
        <v>31.531499808223984</v>
      </c>
      <c r="BT29" s="48">
        <v>24.4953652823726</v>
      </c>
      <c r="BU29" s="48">
        <v>68.283597835890376</v>
      </c>
      <c r="BV29" s="48">
        <v>0.46277226316485659</v>
      </c>
      <c r="BW29" s="48">
        <v>241.85917338799999</v>
      </c>
      <c r="BX29" s="48">
        <f t="shared" si="10"/>
        <v>299.00431114563833</v>
      </c>
      <c r="BY29" s="48">
        <v>93.52</v>
      </c>
      <c r="BZ29" s="48">
        <v>44.7</v>
      </c>
      <c r="CA29" s="58">
        <f t="shared" si="11"/>
        <v>2.2350000000000002E-2</v>
      </c>
      <c r="CB29" s="48">
        <v>1</v>
      </c>
      <c r="CC29" s="57">
        <f t="shared" si="12"/>
        <v>0.99852792858243078</v>
      </c>
      <c r="CD29" s="57">
        <v>-7.7000000000000002E-3</v>
      </c>
      <c r="CE29" s="57">
        <f t="shared" si="13"/>
        <v>1.0022738148798565</v>
      </c>
      <c r="CF29" s="48">
        <f t="shared" si="35"/>
        <v>0.463141738801777</v>
      </c>
      <c r="CG29" s="49">
        <f t="shared" si="14"/>
        <v>-5.1236943364405416E-2</v>
      </c>
      <c r="CH29" s="55">
        <v>0.22320254396147149</v>
      </c>
      <c r="CI29" s="190"/>
      <c r="CJ29" s="188"/>
      <c r="CK29" s="188"/>
      <c r="CL29" s="185"/>
      <c r="CM29" s="185"/>
      <c r="CN29" s="188"/>
      <c r="CO29" s="188"/>
      <c r="CP29" s="189"/>
      <c r="CR29" s="52">
        <f t="shared" si="2"/>
        <v>24.39795500227482</v>
      </c>
      <c r="CS29" s="187"/>
      <c r="CV29" s="188"/>
      <c r="CW29" s="188"/>
      <c r="CX29" s="188"/>
      <c r="CY29" s="188"/>
      <c r="CZ29" s="188"/>
      <c r="DA29" s="188"/>
      <c r="DC29" s="198"/>
      <c r="DD29" s="188"/>
      <c r="DE29" s="188"/>
      <c r="DF29" s="188"/>
      <c r="DH29" s="185"/>
      <c r="DI29" s="185"/>
      <c r="DJ29" s="197"/>
      <c r="DK29" s="185"/>
      <c r="DL29" s="185"/>
      <c r="DM29" s="197"/>
      <c r="DN29" s="196"/>
      <c r="DO29" s="185"/>
      <c r="DP29" s="197"/>
    </row>
    <row r="30" spans="1:120" x14ac:dyDescent="0.25">
      <c r="A30" s="66"/>
      <c r="B30" s="47"/>
      <c r="C30" s="11" t="s">
        <v>45</v>
      </c>
      <c r="D30" s="50" t="s">
        <v>74</v>
      </c>
      <c r="E30" s="10">
        <v>22</v>
      </c>
      <c r="F30" s="48">
        <v>0.394519796411684</v>
      </c>
      <c r="G30" s="48">
        <v>31.375525233869102</v>
      </c>
      <c r="H30" s="48">
        <v>19.915417339653199</v>
      </c>
      <c r="I30" s="48">
        <v>70.077120191742196</v>
      </c>
      <c r="J30" s="48">
        <v>0.39555116426241699</v>
      </c>
      <c r="K30" s="48">
        <v>238.35873307899999</v>
      </c>
      <c r="L30" s="48">
        <f t="shared" si="3"/>
        <v>300.40379490143027</v>
      </c>
      <c r="M30" s="48">
        <v>93.52</v>
      </c>
      <c r="N30" s="48">
        <v>44.7</v>
      </c>
      <c r="O30" s="58">
        <f t="shared" si="4"/>
        <v>2.2350000000000002E-2</v>
      </c>
      <c r="P30" s="48">
        <v>1</v>
      </c>
      <c r="Q30" s="57">
        <f t="shared" si="5"/>
        <v>0.99848444061883268</v>
      </c>
      <c r="R30" s="57">
        <v>-7.7000000000000002E-3</v>
      </c>
      <c r="S30" s="57">
        <f t="shared" si="6"/>
        <v>1.0022617503035365</v>
      </c>
      <c r="T30" s="48">
        <f t="shared" si="7"/>
        <v>0.39584496507356026</v>
      </c>
      <c r="U30" s="49">
        <f t="shared" si="8"/>
        <v>0.33589408539931453</v>
      </c>
      <c r="V30" s="6">
        <v>0.35</v>
      </c>
      <c r="W30" s="190"/>
      <c r="X30" s="188"/>
      <c r="Y30" s="188"/>
      <c r="Z30" s="185"/>
      <c r="AA30" s="185"/>
      <c r="AB30" s="188"/>
      <c r="AC30" s="188"/>
      <c r="AD30" s="189"/>
      <c r="AF30" s="52">
        <f t="shared" si="9"/>
        <v>20.320244145998764</v>
      </c>
      <c r="AG30" s="187"/>
      <c r="AI30" s="11" t="s">
        <v>45</v>
      </c>
      <c r="AJ30" s="53"/>
      <c r="AK30" s="9"/>
      <c r="AL30" s="54"/>
      <c r="AM30" s="54"/>
      <c r="AN30" s="54"/>
      <c r="AO30" s="54"/>
      <c r="AP30" s="54"/>
      <c r="AQ30" s="48"/>
      <c r="AR30" s="48"/>
      <c r="AS30" s="48"/>
      <c r="AT30" s="48"/>
      <c r="AU30" s="58"/>
      <c r="AV30" s="48"/>
      <c r="AW30" s="57"/>
      <c r="AX30" s="57"/>
      <c r="AY30" s="57"/>
      <c r="AZ30" s="48"/>
      <c r="BA30" s="49"/>
      <c r="BB30" s="6"/>
      <c r="BC30" s="190"/>
      <c r="BD30" s="188"/>
      <c r="BE30" s="188"/>
      <c r="BF30" s="185"/>
      <c r="BG30" s="185"/>
      <c r="BH30" s="188"/>
      <c r="BI30" s="188"/>
      <c r="BJ30" s="189"/>
      <c r="BL30" s="52"/>
      <c r="BM30" s="187"/>
      <c r="BO30" s="11" t="s">
        <v>45</v>
      </c>
      <c r="BP30" s="50">
        <v>45670.600914351853</v>
      </c>
      <c r="BQ30" s="10">
        <v>9.3000000000000007</v>
      </c>
      <c r="BR30" s="48">
        <v>0.46326999192669122</v>
      </c>
      <c r="BS30" s="48">
        <v>31.525382770514739</v>
      </c>
      <c r="BT30" s="48">
        <v>24.478193736842105</v>
      </c>
      <c r="BU30" s="48">
        <v>68.272142160880421</v>
      </c>
      <c r="BV30" s="48">
        <v>0.46267093044950336</v>
      </c>
      <c r="BW30" s="48">
        <v>241.84360069300001</v>
      </c>
      <c r="BX30" s="48">
        <f t="shared" si="10"/>
        <v>298.99568604880216</v>
      </c>
      <c r="BY30" s="48">
        <v>93.52</v>
      </c>
      <c r="BZ30" s="48">
        <v>44.7</v>
      </c>
      <c r="CA30" s="58">
        <f t="shared" si="11"/>
        <v>2.2350000000000002E-2</v>
      </c>
      <c r="CB30" s="48">
        <v>1</v>
      </c>
      <c r="CC30" s="57">
        <f t="shared" si="12"/>
        <v>0.99852773927739369</v>
      </c>
      <c r="CD30" s="57">
        <v>-7.7000000000000002E-3</v>
      </c>
      <c r="CE30" s="57">
        <f t="shared" si="13"/>
        <v>1.0022733417237533</v>
      </c>
      <c r="CF30" s="48">
        <f t="shared" si="35"/>
        <v>0.46304001880439882</v>
      </c>
      <c r="CG30" s="49">
        <f t="shared" si="14"/>
        <v>-4.9641273188440034E-2</v>
      </c>
      <c r="CH30" s="55">
        <v>0.22361929736761335</v>
      </c>
      <c r="CI30" s="190"/>
      <c r="CJ30" s="188"/>
      <c r="CK30" s="188"/>
      <c r="CL30" s="185"/>
      <c r="CM30" s="185"/>
      <c r="CN30" s="188"/>
      <c r="CO30" s="188"/>
      <c r="CP30" s="189"/>
      <c r="CR30" s="52">
        <f t="shared" si="2"/>
        <v>24.396705550753918</v>
      </c>
      <c r="CS30" s="187"/>
      <c r="CV30" s="188"/>
      <c r="CW30" s="188"/>
      <c r="CX30" s="188"/>
      <c r="CY30" s="188"/>
      <c r="CZ30" s="188"/>
      <c r="DA30" s="188"/>
      <c r="DC30" s="198"/>
      <c r="DD30" s="188"/>
      <c r="DE30" s="188"/>
      <c r="DF30" s="188"/>
      <c r="DH30" s="185"/>
      <c r="DI30" s="185"/>
      <c r="DJ30" s="197"/>
      <c r="DK30" s="185"/>
      <c r="DL30" s="185"/>
      <c r="DM30" s="197"/>
      <c r="DN30" s="196"/>
      <c r="DO30" s="185"/>
      <c r="DP30" s="197"/>
    </row>
    <row r="31" spans="1:120" x14ac:dyDescent="0.25">
      <c r="BN31" s="19"/>
      <c r="BO31" s="19"/>
      <c r="BP31" s="46"/>
      <c r="BQ31" s="24"/>
      <c r="BR31" s="25"/>
      <c r="BS31" s="26"/>
      <c r="BT31" s="26"/>
      <c r="BU31" s="26"/>
      <c r="BV31" s="26"/>
      <c r="BW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V31" s="27"/>
    </row>
    <row r="32" spans="1:120" x14ac:dyDescent="0.25">
      <c r="C32" t="s">
        <v>194</v>
      </c>
      <c r="D32" s="168"/>
      <c r="E32" s="168">
        <v>1.47</v>
      </c>
      <c r="F32" s="34" t="s">
        <v>195</v>
      </c>
      <c r="AI32" t="s">
        <v>194</v>
      </c>
      <c r="AJ32" s="168"/>
      <c r="AK32" s="168">
        <v>1.46</v>
      </c>
      <c r="AL32" s="34" t="s">
        <v>195</v>
      </c>
      <c r="BO32" t="s">
        <v>194</v>
      </c>
      <c r="BP32" s="168"/>
      <c r="BQ32" s="168">
        <v>1.48</v>
      </c>
      <c r="BR32" s="34" t="s">
        <v>195</v>
      </c>
      <c r="CH32" s="26"/>
      <c r="CV32" s="27"/>
    </row>
    <row r="33" spans="2:120" x14ac:dyDescent="0.25">
      <c r="C33" t="s">
        <v>196</v>
      </c>
      <c r="D33" s="34"/>
      <c r="E33" s="34">
        <v>44.01</v>
      </c>
      <c r="F33" s="34" t="s">
        <v>197</v>
      </c>
      <c r="AB33" s="7"/>
      <c r="AC33" s="7"/>
      <c r="AD33" s="7"/>
      <c r="AE33" s="7"/>
      <c r="AF33" s="7"/>
      <c r="AG33" s="7"/>
      <c r="AH33" s="7"/>
      <c r="AI33" t="s">
        <v>196</v>
      </c>
      <c r="AJ33" s="34"/>
      <c r="AK33" s="34">
        <v>44.01</v>
      </c>
      <c r="AL33" s="34" t="s">
        <v>197</v>
      </c>
      <c r="BO33" t="s">
        <v>196</v>
      </c>
      <c r="BP33" s="34"/>
      <c r="BQ33" s="34">
        <v>44.01</v>
      </c>
      <c r="BR33" s="34" t="s">
        <v>197</v>
      </c>
      <c r="CH33" s="26"/>
      <c r="CR33" s="7"/>
      <c r="CS33" s="7"/>
      <c r="CV33" s="27"/>
    </row>
    <row r="34" spans="2:120" x14ac:dyDescent="0.25">
      <c r="D34" s="183"/>
      <c r="E34" s="169" t="s">
        <v>45</v>
      </c>
      <c r="F34" s="34"/>
      <c r="AB34" s="7"/>
      <c r="AC34" s="7"/>
      <c r="AD34" s="7"/>
      <c r="AE34" s="7"/>
      <c r="AF34" s="7"/>
      <c r="AG34" s="7"/>
      <c r="AH34" s="7"/>
      <c r="AJ34" s="183"/>
      <c r="AK34" s="169" t="s">
        <v>45</v>
      </c>
      <c r="AL34" s="34"/>
      <c r="BP34" s="183"/>
      <c r="BQ34" s="169" t="s">
        <v>45</v>
      </c>
      <c r="BR34" s="34"/>
      <c r="CH34" s="26"/>
      <c r="CR34" s="7"/>
      <c r="CS34" s="7"/>
      <c r="CV34" s="27"/>
    </row>
    <row r="35" spans="2:120" x14ac:dyDescent="0.25">
      <c r="AB35" s="7"/>
      <c r="AC35" s="7"/>
      <c r="AD35" s="7"/>
      <c r="AE35" s="7"/>
      <c r="AF35" s="7"/>
      <c r="AG35" s="7"/>
      <c r="AH35" s="7"/>
      <c r="CH35" s="26"/>
      <c r="CR35" s="7"/>
      <c r="CS35" s="7"/>
      <c r="CV35" s="27"/>
    </row>
    <row r="36" spans="2:120" x14ac:dyDescent="0.25">
      <c r="C36" s="7" t="s">
        <v>54</v>
      </c>
      <c r="D36" s="56" t="s">
        <v>56</v>
      </c>
      <c r="AB36" s="7"/>
      <c r="AC36" s="7"/>
      <c r="AD36" s="7"/>
      <c r="AE36" s="7"/>
      <c r="AF36" s="7"/>
      <c r="AG36" s="7"/>
      <c r="AH36" s="7"/>
      <c r="CH36" s="26"/>
      <c r="CR36" s="7"/>
      <c r="CS36" s="7"/>
      <c r="CV36" s="27"/>
    </row>
    <row r="37" spans="2:120" ht="21" x14ac:dyDescent="0.35">
      <c r="C37" s="1" t="s">
        <v>35</v>
      </c>
      <c r="E37" s="2"/>
      <c r="F37" s="1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3"/>
      <c r="V37" s="3"/>
      <c r="W37" s="3"/>
      <c r="AI37" s="1" t="s">
        <v>35</v>
      </c>
      <c r="AJ37" s="1"/>
      <c r="AR37" s="2"/>
      <c r="BO37" s="1" t="s">
        <v>35</v>
      </c>
      <c r="BP37" s="1"/>
      <c r="BX37" s="2"/>
      <c r="CH37" s="26"/>
      <c r="CV37" s="193" t="s">
        <v>32</v>
      </c>
      <c r="CW37" s="193"/>
      <c r="CX37" s="194" t="s">
        <v>12</v>
      </c>
      <c r="CY37" s="194"/>
      <c r="CZ37" s="195" t="s">
        <v>34</v>
      </c>
      <c r="DA37" s="195"/>
      <c r="DH37" s="193" t="s">
        <v>32</v>
      </c>
      <c r="DI37" s="193"/>
      <c r="DJ37" s="193"/>
      <c r="DK37" s="194" t="s">
        <v>12</v>
      </c>
      <c r="DL37" s="194"/>
      <c r="DM37" s="194"/>
      <c r="DN37" s="195" t="s">
        <v>34</v>
      </c>
      <c r="DO37" s="195"/>
      <c r="DP37" s="195"/>
    </row>
    <row r="38" spans="2:120" ht="75" x14ac:dyDescent="0.25">
      <c r="C38" s="14" t="s">
        <v>44</v>
      </c>
      <c r="D38" s="14" t="s">
        <v>0</v>
      </c>
      <c r="E38" s="8" t="s">
        <v>1</v>
      </c>
      <c r="F38" s="15" t="s">
        <v>36</v>
      </c>
      <c r="G38" s="15" t="s">
        <v>2</v>
      </c>
      <c r="H38" s="15" t="s">
        <v>3</v>
      </c>
      <c r="I38" s="15" t="s">
        <v>4</v>
      </c>
      <c r="J38" s="15" t="s">
        <v>37</v>
      </c>
      <c r="K38" s="15" t="s">
        <v>93</v>
      </c>
      <c r="L38" s="15" t="s">
        <v>198</v>
      </c>
      <c r="M38" s="15" t="s">
        <v>94</v>
      </c>
      <c r="N38" s="15" t="s">
        <v>95</v>
      </c>
      <c r="O38" s="15" t="s">
        <v>96</v>
      </c>
      <c r="P38" s="15" t="s">
        <v>97</v>
      </c>
      <c r="Q38" s="15" t="s">
        <v>98</v>
      </c>
      <c r="R38" s="15" t="s">
        <v>105</v>
      </c>
      <c r="S38" s="15" t="s">
        <v>99</v>
      </c>
      <c r="T38" s="15" t="s">
        <v>103</v>
      </c>
      <c r="U38" s="15" t="s">
        <v>5</v>
      </c>
      <c r="V38" s="4" t="s">
        <v>51</v>
      </c>
      <c r="W38" s="35" t="s">
        <v>20</v>
      </c>
      <c r="X38" s="35" t="s">
        <v>21</v>
      </c>
      <c r="Y38" s="35" t="s">
        <v>42</v>
      </c>
      <c r="Z38" s="35" t="s">
        <v>43</v>
      </c>
      <c r="AA38" s="35" t="s">
        <v>22</v>
      </c>
      <c r="AB38" s="35" t="s">
        <v>52</v>
      </c>
      <c r="AC38" s="35" t="s">
        <v>23</v>
      </c>
      <c r="AD38" s="35" t="s">
        <v>39</v>
      </c>
      <c r="AF38" s="35" t="s">
        <v>48</v>
      </c>
      <c r="AG38" s="35" t="s">
        <v>46</v>
      </c>
      <c r="AI38" s="14" t="s">
        <v>44</v>
      </c>
      <c r="AJ38" s="14" t="s">
        <v>0</v>
      </c>
      <c r="AK38" s="8" t="s">
        <v>1</v>
      </c>
      <c r="AL38" s="15" t="s">
        <v>36</v>
      </c>
      <c r="AM38" s="15" t="s">
        <v>2</v>
      </c>
      <c r="AN38" s="15" t="s">
        <v>3</v>
      </c>
      <c r="AO38" s="15" t="s">
        <v>4</v>
      </c>
      <c r="AP38" s="15" t="s">
        <v>37</v>
      </c>
      <c r="AQ38" s="15" t="s">
        <v>93</v>
      </c>
      <c r="AR38" s="15" t="s">
        <v>198</v>
      </c>
      <c r="AS38" s="15" t="s">
        <v>94</v>
      </c>
      <c r="AT38" s="15" t="s">
        <v>95</v>
      </c>
      <c r="AU38" s="15" t="s">
        <v>96</v>
      </c>
      <c r="AV38" s="15" t="s">
        <v>97</v>
      </c>
      <c r="AW38" s="15" t="s">
        <v>98</v>
      </c>
      <c r="AX38" s="15" t="s">
        <v>105</v>
      </c>
      <c r="AY38" s="15" t="s">
        <v>99</v>
      </c>
      <c r="AZ38" s="15" t="s">
        <v>103</v>
      </c>
      <c r="BA38" s="15" t="s">
        <v>5</v>
      </c>
      <c r="BB38" s="4" t="s">
        <v>51</v>
      </c>
      <c r="BC38" s="35" t="s">
        <v>20</v>
      </c>
      <c r="BD38" s="35" t="s">
        <v>21</v>
      </c>
      <c r="BE38" s="35" t="s">
        <v>42</v>
      </c>
      <c r="BF38" s="35" t="s">
        <v>43</v>
      </c>
      <c r="BG38" s="35" t="s">
        <v>22</v>
      </c>
      <c r="BH38" s="35" t="s">
        <v>52</v>
      </c>
      <c r="BI38" s="35" t="s">
        <v>23</v>
      </c>
      <c r="BJ38" s="35" t="s">
        <v>39</v>
      </c>
      <c r="BK38" s="20"/>
      <c r="BL38" s="35" t="s">
        <v>48</v>
      </c>
      <c r="BM38" s="35" t="s">
        <v>46</v>
      </c>
      <c r="BN38" s="20"/>
      <c r="BO38" s="14" t="s">
        <v>44</v>
      </c>
      <c r="BP38" s="14" t="s">
        <v>0</v>
      </c>
      <c r="BQ38" s="8" t="s">
        <v>1</v>
      </c>
      <c r="BR38" s="15" t="s">
        <v>36</v>
      </c>
      <c r="BS38" s="15" t="s">
        <v>2</v>
      </c>
      <c r="BT38" s="15" t="s">
        <v>3</v>
      </c>
      <c r="BU38" s="15" t="s">
        <v>4</v>
      </c>
      <c r="BV38" s="15" t="s">
        <v>37</v>
      </c>
      <c r="BW38" s="15" t="s">
        <v>93</v>
      </c>
      <c r="BX38" s="15" t="s">
        <v>198</v>
      </c>
      <c r="BY38" s="15" t="s">
        <v>94</v>
      </c>
      <c r="BZ38" s="15" t="s">
        <v>95</v>
      </c>
      <c r="CA38" s="15" t="s">
        <v>96</v>
      </c>
      <c r="CB38" s="15" t="s">
        <v>97</v>
      </c>
      <c r="CC38" s="15" t="s">
        <v>98</v>
      </c>
      <c r="CD38" s="15" t="s">
        <v>105</v>
      </c>
      <c r="CE38" s="15" t="s">
        <v>99</v>
      </c>
      <c r="CF38" s="15" t="s">
        <v>103</v>
      </c>
      <c r="CG38" s="15" t="s">
        <v>5</v>
      </c>
      <c r="CH38" s="4" t="s">
        <v>6</v>
      </c>
      <c r="CI38" s="35" t="s">
        <v>20</v>
      </c>
      <c r="CJ38" s="35" t="s">
        <v>21</v>
      </c>
      <c r="CK38" s="35" t="s">
        <v>42</v>
      </c>
      <c r="CL38" s="35" t="s">
        <v>43</v>
      </c>
      <c r="CM38" s="35" t="s">
        <v>22</v>
      </c>
      <c r="CN38" s="35" t="s">
        <v>52</v>
      </c>
      <c r="CO38" s="35" t="s">
        <v>23</v>
      </c>
      <c r="CP38" s="35" t="s">
        <v>39</v>
      </c>
      <c r="CR38" s="35" t="s">
        <v>48</v>
      </c>
      <c r="CS38" s="35" t="s">
        <v>46</v>
      </c>
      <c r="CV38" s="31" t="s">
        <v>14</v>
      </c>
      <c r="CW38" s="31" t="s">
        <v>13</v>
      </c>
      <c r="CX38" s="31" t="s">
        <v>14</v>
      </c>
      <c r="CY38" s="31" t="s">
        <v>13</v>
      </c>
      <c r="CZ38" s="31" t="s">
        <v>14</v>
      </c>
      <c r="DA38" s="31" t="s">
        <v>13</v>
      </c>
      <c r="DC38" s="31" t="s">
        <v>40</v>
      </c>
      <c r="DD38" s="31" t="s">
        <v>15</v>
      </c>
      <c r="DE38" s="31" t="s">
        <v>16</v>
      </c>
      <c r="DF38" s="31" t="s">
        <v>33</v>
      </c>
      <c r="DH38" s="31" t="s">
        <v>17</v>
      </c>
      <c r="DI38" s="31" t="s">
        <v>19</v>
      </c>
      <c r="DJ38" s="31" t="s">
        <v>18</v>
      </c>
      <c r="DK38" s="31" t="s">
        <v>17</v>
      </c>
      <c r="DL38" s="31" t="s">
        <v>19</v>
      </c>
      <c r="DM38" s="31" t="s">
        <v>18</v>
      </c>
      <c r="DN38" s="31" t="s">
        <v>17</v>
      </c>
      <c r="DO38" s="31" t="s">
        <v>19</v>
      </c>
      <c r="DP38" s="31" t="s">
        <v>18</v>
      </c>
    </row>
    <row r="39" spans="2:120" x14ac:dyDescent="0.25">
      <c r="C39" s="51" t="s">
        <v>7</v>
      </c>
      <c r="D39" s="16" t="s">
        <v>7</v>
      </c>
      <c r="E39" s="17" t="s">
        <v>7</v>
      </c>
      <c r="F39" s="18" t="s">
        <v>38</v>
      </c>
      <c r="G39" s="18" t="s">
        <v>41</v>
      </c>
      <c r="H39" s="18" t="s">
        <v>9</v>
      </c>
      <c r="I39" s="18" t="s">
        <v>11</v>
      </c>
      <c r="J39" s="18" t="s">
        <v>38</v>
      </c>
      <c r="K39" s="18" t="s">
        <v>100</v>
      </c>
      <c r="L39" s="18" t="s">
        <v>100</v>
      </c>
      <c r="M39" s="18" t="s">
        <v>101</v>
      </c>
      <c r="N39" s="18" t="s">
        <v>102</v>
      </c>
      <c r="O39" s="18" t="s">
        <v>104</v>
      </c>
      <c r="P39" s="18" t="s">
        <v>7</v>
      </c>
      <c r="Q39" s="18" t="s">
        <v>7</v>
      </c>
      <c r="R39" s="18"/>
      <c r="S39" s="18" t="s">
        <v>7</v>
      </c>
      <c r="T39" s="18" t="s">
        <v>38</v>
      </c>
      <c r="U39" s="18" t="s">
        <v>10</v>
      </c>
      <c r="V39" s="5" t="s">
        <v>10</v>
      </c>
      <c r="W39" s="36" t="s">
        <v>10</v>
      </c>
      <c r="X39" s="37"/>
      <c r="Y39" s="37"/>
      <c r="Z39" s="37"/>
      <c r="AA39" s="38" t="s">
        <v>10</v>
      </c>
      <c r="AB39" s="23" t="s">
        <v>10</v>
      </c>
      <c r="AC39" s="23" t="s">
        <v>10</v>
      </c>
      <c r="AD39" s="23" t="s">
        <v>38</v>
      </c>
      <c r="AF39" s="23" t="s">
        <v>47</v>
      </c>
      <c r="AG39" s="23" t="s">
        <v>47</v>
      </c>
      <c r="AI39" s="51" t="s">
        <v>7</v>
      </c>
      <c r="AJ39" s="16" t="s">
        <v>7</v>
      </c>
      <c r="AK39" s="17" t="s">
        <v>7</v>
      </c>
      <c r="AL39" s="18" t="s">
        <v>38</v>
      </c>
      <c r="AM39" s="18" t="s">
        <v>41</v>
      </c>
      <c r="AN39" s="18" t="s">
        <v>9</v>
      </c>
      <c r="AO39" s="18" t="s">
        <v>11</v>
      </c>
      <c r="AP39" s="18" t="s">
        <v>38</v>
      </c>
      <c r="AQ39" s="18" t="s">
        <v>100</v>
      </c>
      <c r="AR39" s="18" t="s">
        <v>100</v>
      </c>
      <c r="AS39" s="18" t="s">
        <v>101</v>
      </c>
      <c r="AT39" s="18" t="s">
        <v>102</v>
      </c>
      <c r="AU39" s="18" t="s">
        <v>104</v>
      </c>
      <c r="AV39" s="18" t="s">
        <v>7</v>
      </c>
      <c r="AW39" s="18" t="s">
        <v>7</v>
      </c>
      <c r="AX39" s="18"/>
      <c r="AY39" s="18" t="s">
        <v>7</v>
      </c>
      <c r="AZ39" s="18" t="s">
        <v>38</v>
      </c>
      <c r="BA39" s="18" t="s">
        <v>10</v>
      </c>
      <c r="BB39" s="5" t="s">
        <v>10</v>
      </c>
      <c r="BC39" s="36" t="s">
        <v>10</v>
      </c>
      <c r="BD39" s="37"/>
      <c r="BE39" s="37"/>
      <c r="BF39" s="37"/>
      <c r="BG39" s="38" t="s">
        <v>10</v>
      </c>
      <c r="BH39" s="23" t="s">
        <v>10</v>
      </c>
      <c r="BI39" s="23" t="s">
        <v>10</v>
      </c>
      <c r="BJ39" s="23" t="s">
        <v>38</v>
      </c>
      <c r="BK39" s="21"/>
      <c r="BL39" s="23" t="s">
        <v>47</v>
      </c>
      <c r="BM39" s="23" t="s">
        <v>47</v>
      </c>
      <c r="BN39" s="21"/>
      <c r="BO39" s="51" t="s">
        <v>7</v>
      </c>
      <c r="BP39" s="16" t="s">
        <v>7</v>
      </c>
      <c r="BQ39" s="17" t="s">
        <v>7</v>
      </c>
      <c r="BR39" s="18" t="s">
        <v>38</v>
      </c>
      <c r="BS39" s="18" t="s">
        <v>8</v>
      </c>
      <c r="BT39" s="18" t="s">
        <v>9</v>
      </c>
      <c r="BU39" s="18" t="s">
        <v>11</v>
      </c>
      <c r="BV39" s="18" t="s">
        <v>38</v>
      </c>
      <c r="BW39" s="18" t="s">
        <v>100</v>
      </c>
      <c r="BX39" s="18" t="s">
        <v>100</v>
      </c>
      <c r="BY39" s="18" t="s">
        <v>101</v>
      </c>
      <c r="BZ39" s="18" t="s">
        <v>102</v>
      </c>
      <c r="CA39" s="18" t="s">
        <v>104</v>
      </c>
      <c r="CB39" s="18" t="s">
        <v>7</v>
      </c>
      <c r="CC39" s="18" t="s">
        <v>7</v>
      </c>
      <c r="CD39" s="18"/>
      <c r="CE39" s="18" t="s">
        <v>7</v>
      </c>
      <c r="CF39" s="18" t="s">
        <v>38</v>
      </c>
      <c r="CG39" s="18" t="s">
        <v>10</v>
      </c>
      <c r="CH39" s="5" t="s">
        <v>10</v>
      </c>
      <c r="CI39" s="36" t="s">
        <v>10</v>
      </c>
      <c r="CJ39" s="37"/>
      <c r="CK39" s="37"/>
      <c r="CL39" s="37"/>
      <c r="CM39" s="38" t="s">
        <v>10</v>
      </c>
      <c r="CN39" s="23" t="s">
        <v>10</v>
      </c>
      <c r="CO39" s="23" t="s">
        <v>10</v>
      </c>
      <c r="CP39" s="23" t="s">
        <v>38</v>
      </c>
      <c r="CR39" s="23" t="s">
        <v>47</v>
      </c>
      <c r="CS39" s="23" t="s">
        <v>47</v>
      </c>
      <c r="CV39" s="30"/>
      <c r="CW39" s="30"/>
      <c r="CX39" s="30"/>
      <c r="CY39" s="30"/>
      <c r="CZ39" s="30"/>
      <c r="DA39" s="30"/>
      <c r="DC39" s="30" t="s">
        <v>38</v>
      </c>
      <c r="DD39" s="30" t="s">
        <v>10</v>
      </c>
      <c r="DE39" s="30"/>
      <c r="DF39" s="30"/>
      <c r="DH39" s="30"/>
      <c r="DI39" s="30"/>
      <c r="DJ39" s="30" t="s">
        <v>10</v>
      </c>
      <c r="DK39" s="30"/>
      <c r="DL39" s="30"/>
      <c r="DM39" s="30" t="s">
        <v>10</v>
      </c>
      <c r="DN39" s="30"/>
      <c r="DO39" s="30"/>
      <c r="DP39" s="30" t="s">
        <v>10</v>
      </c>
    </row>
    <row r="40" spans="2:120" x14ac:dyDescent="0.25">
      <c r="B40" s="13"/>
      <c r="C40" s="11" t="s">
        <v>45</v>
      </c>
      <c r="D40" s="50" t="s">
        <v>75</v>
      </c>
      <c r="E40" s="10">
        <v>2</v>
      </c>
      <c r="F40" s="48">
        <v>4.8673251806332303</v>
      </c>
      <c r="G40" s="48">
        <v>21.182174089342222</v>
      </c>
      <c r="H40" s="48">
        <v>20.063424406317001</v>
      </c>
      <c r="I40" s="48">
        <v>43.5360501547365</v>
      </c>
      <c r="J40" s="48">
        <v>4.8775904934875198</v>
      </c>
      <c r="K40" s="48">
        <v>248.926493867</v>
      </c>
      <c r="L40" s="48">
        <f>SQRT(($E$32)*8.314*(H40+273.15)/($E$33/1000))</f>
        <v>285.3513412355303</v>
      </c>
      <c r="M40" s="48">
        <v>93.52</v>
      </c>
      <c r="N40" s="48">
        <v>44.7</v>
      </c>
      <c r="O40" s="58">
        <f>N40/2/1000</f>
        <v>2.2350000000000002E-2</v>
      </c>
      <c r="P40" s="48">
        <v>1</v>
      </c>
      <c r="Q40" s="57">
        <f>1/(1+P40*0.5*(2*PI()*M40/K40*O40)^2)</f>
        <v>0.99861021521637017</v>
      </c>
      <c r="R40" s="57">
        <v>-7.7000000000000002E-3</v>
      </c>
      <c r="S40" s="57">
        <f>1/(1+R40/100*((G40)-2.06843))</f>
        <v>1.0014739275599918</v>
      </c>
      <c r="T40" s="48">
        <f>J40*S40*Q40</f>
        <v>4.8779909160319095</v>
      </c>
      <c r="U40" s="49">
        <f>(T40-F40)/F40*100</f>
        <v>0.21912929592453526</v>
      </c>
      <c r="V40" s="6">
        <v>0.35</v>
      </c>
      <c r="W40" s="190">
        <f>AVERAGE(U40:U42)</f>
        <v>0.23752868385534689</v>
      </c>
      <c r="X40" s="188">
        <f>STDEV(U40:U42)</f>
        <v>4.0603332076216095E-2</v>
      </c>
      <c r="Y40" s="188">
        <v>3</v>
      </c>
      <c r="Z40" s="185">
        <f>TINV(0.05,Y40-1)</f>
        <v>4.3026527297494637</v>
      </c>
      <c r="AA40" s="185">
        <f>X40*Z40/SQRT(Y40)</f>
        <v>0.10086426843325026</v>
      </c>
      <c r="AB40" s="188">
        <f>AVERAGE(V40:V42)</f>
        <v>0.34999999999999992</v>
      </c>
      <c r="AC40" s="188">
        <f>SQRT(AA40^2+AB40^2)</f>
        <v>0.36424387523550028</v>
      </c>
      <c r="AD40" s="189">
        <f>AVERAGE(F40:F42)</f>
        <v>4.8687009680114341</v>
      </c>
      <c r="AF40" s="52">
        <f>J40/I40*3600</f>
        <v>403.32840747255312</v>
      </c>
      <c r="AG40" s="187">
        <f>AVERAGE(AF40:AF42)</f>
        <v>403.36842827080619</v>
      </c>
      <c r="AI40" s="11" t="s">
        <v>45</v>
      </c>
      <c r="AJ40" s="50"/>
      <c r="AK40" s="10"/>
      <c r="AL40" s="48"/>
      <c r="AM40" s="48"/>
      <c r="AN40" s="48"/>
      <c r="AO40" s="48"/>
      <c r="AP40" s="48"/>
      <c r="AQ40" s="48"/>
      <c r="AR40" s="48"/>
      <c r="AS40" s="48"/>
      <c r="AT40" s="48"/>
      <c r="AU40" s="58"/>
      <c r="AV40" s="48"/>
      <c r="AW40" s="57"/>
      <c r="AX40" s="57"/>
      <c r="AY40" s="57"/>
      <c r="AZ40" s="48"/>
      <c r="BA40" s="49"/>
      <c r="BB40" s="6"/>
      <c r="BC40" s="190"/>
      <c r="BD40" s="188"/>
      <c r="BE40" s="188"/>
      <c r="BF40" s="185"/>
      <c r="BG40" s="185"/>
      <c r="BH40" s="188"/>
      <c r="BI40" s="188"/>
      <c r="BJ40" s="189"/>
      <c r="BL40" s="52"/>
      <c r="BM40" s="187"/>
      <c r="BO40" s="11" t="s">
        <v>45</v>
      </c>
      <c r="BP40" s="50">
        <v>45671.377418981479</v>
      </c>
      <c r="BQ40" s="10">
        <v>11.1</v>
      </c>
      <c r="BR40" s="48">
        <v>4.6299114114200881</v>
      </c>
      <c r="BS40" s="48">
        <v>20.90547434072581</v>
      </c>
      <c r="BT40" s="48">
        <v>20.431600807017542</v>
      </c>
      <c r="BU40" s="48">
        <v>42.729314556774753</v>
      </c>
      <c r="BV40" s="48">
        <v>4.6306192247219897</v>
      </c>
      <c r="BW40" s="48">
        <v>249.418976786</v>
      </c>
      <c r="BX40" s="48">
        <f>SQRT(($BQ$32)*8.314*(BT40+273.15)/($BQ$33/1000))</f>
        <v>286.49998305089758</v>
      </c>
      <c r="BY40" s="48">
        <v>93.52</v>
      </c>
      <c r="BZ40" s="48">
        <v>44.7</v>
      </c>
      <c r="CA40" s="58">
        <f>BZ40/2/1000</f>
        <v>2.2350000000000002E-2</v>
      </c>
      <c r="CB40" s="48">
        <v>1</v>
      </c>
      <c r="CC40" s="57">
        <f>1/(1+CB40*0.5*(2*PI()*BY40/BW40*CA40)^2)</f>
        <v>0.99861569052543853</v>
      </c>
      <c r="CD40" s="57">
        <v>-7.7000000000000002E-3</v>
      </c>
      <c r="CE40" s="57">
        <f>1/(1+CD40/100*((BS40)-2.06843))</f>
        <v>1.0014525592823538</v>
      </c>
      <c r="CF40" s="48">
        <f>BV40*CE40*CC40</f>
        <v>4.6309259523839037</v>
      </c>
      <c r="CG40" s="49">
        <f>(CF40-BR40)/BR40*100</f>
        <v>2.1912751101741075E-2</v>
      </c>
      <c r="CH40" s="55">
        <v>0.2600517914259321</v>
      </c>
      <c r="CI40" s="190">
        <f>AVERAGE(CG40:CG42)</f>
        <v>-4.5709592299222994E-2</v>
      </c>
      <c r="CJ40" s="188">
        <f>STDEV(CG40:CG42)</f>
        <v>0.23099864240952001</v>
      </c>
      <c r="CK40" s="188">
        <f t="shared" ref="CK40" si="192">COUNT(CH40:CH42)</f>
        <v>3</v>
      </c>
      <c r="CL40" s="185">
        <f>TINV(0.05,CK40-1)</f>
        <v>4.3026527297494637</v>
      </c>
      <c r="CM40" s="185">
        <f>CJ40*CL40/SQRT(CK40)</f>
        <v>0.57383243897261804</v>
      </c>
      <c r="CN40" s="188">
        <f>AVERAGE(CH40:CH42)</f>
        <v>0.2366245174959164</v>
      </c>
      <c r="CO40" s="188">
        <f>SQRT(CM40^2+CN40^2)</f>
        <v>0.62070510735568996</v>
      </c>
      <c r="CP40" s="189">
        <f>AVERAGE(BR40:BR42)</f>
        <v>4.6371347141034711</v>
      </c>
      <c r="CR40" s="52">
        <f t="shared" ref="CR40:CR57" si="193">BV40/BU40*3600</f>
        <v>390.13565702883687</v>
      </c>
      <c r="CS40" s="187">
        <f>AVERAGE(CR40:CR42)</f>
        <v>389.84128395345624</v>
      </c>
      <c r="CV40" s="188">
        <f>W40*CW40</f>
        <v>1.790323641611963</v>
      </c>
      <c r="CW40" s="188">
        <f>1/AC40^2</f>
        <v>7.53729449661859</v>
      </c>
      <c r="CX40" s="188"/>
      <c r="CY40" s="188"/>
      <c r="CZ40" s="188">
        <f>CI40*DA40</f>
        <v>-0.11864152211535445</v>
      </c>
      <c r="DA40" s="188">
        <f>1/CO40^2</f>
        <v>2.59554977735759</v>
      </c>
      <c r="DC40" s="198">
        <f>AVERAGE(AD40,BJ40,CP40)</f>
        <v>4.7529178410574531</v>
      </c>
      <c r="DD40" s="188">
        <f>SUM(CV40,CX40,CZ40)/SUM(CW40,CY40,DA40)</f>
        <v>0.16497659238580523</v>
      </c>
      <c r="DE40" s="188">
        <f>SUM(CW40,CY40,DA40)</f>
        <v>10.132844273976179</v>
      </c>
      <c r="DF40" s="188">
        <f>SQRT(DE40^-1)</f>
        <v>0.31414801208449256</v>
      </c>
      <c r="DH40" s="185">
        <f>W40-DD40</f>
        <v>7.2552091469541669E-2</v>
      </c>
      <c r="DI40" s="185">
        <f>SQRT(AC40^2-DF40^2)</f>
        <v>0.18434919894031601</v>
      </c>
      <c r="DJ40" s="197">
        <f>ABS(DH40/DI40)</f>
        <v>0.39355794267937544</v>
      </c>
      <c r="DK40" s="185"/>
      <c r="DL40" s="185"/>
      <c r="DM40" s="197"/>
      <c r="DN40" s="196">
        <f>CI40-DD40</f>
        <v>-0.21068618468502823</v>
      </c>
      <c r="DO40" s="185">
        <f>SQRT(CO40^2-DF40^2)</f>
        <v>0.53533714311712033</v>
      </c>
      <c r="DP40" s="197">
        <f>ABS(DN40/DO40)</f>
        <v>0.39355794267937538</v>
      </c>
    </row>
    <row r="41" spans="2:120" x14ac:dyDescent="0.25">
      <c r="B41" s="13"/>
      <c r="C41" s="11" t="s">
        <v>45</v>
      </c>
      <c r="D41" s="50" t="s">
        <v>76</v>
      </c>
      <c r="E41" s="10">
        <v>3</v>
      </c>
      <c r="F41" s="48">
        <v>4.8690793755660797</v>
      </c>
      <c r="G41" s="48">
        <v>21.185953934797965</v>
      </c>
      <c r="H41" s="48">
        <v>20.007389907265999</v>
      </c>
      <c r="I41" s="48">
        <v>43.557608635818902</v>
      </c>
      <c r="J41" s="48">
        <v>4.8792743672943999</v>
      </c>
      <c r="K41" s="48">
        <v>248.88511177399999</v>
      </c>
      <c r="L41" s="48">
        <f t="shared" ref="L41:L57" si="194">SQRT(($E$32)*8.314*(H41+273.15)/($E$33/1000))</f>
        <v>285.32407392421328</v>
      </c>
      <c r="M41" s="48">
        <v>93.52</v>
      </c>
      <c r="N41" s="48">
        <v>44.7</v>
      </c>
      <c r="O41" s="58">
        <f t="shared" ref="O41:O57" si="195">N41/2/1000</f>
        <v>2.2350000000000002E-2</v>
      </c>
      <c r="P41" s="48">
        <v>1</v>
      </c>
      <c r="Q41" s="57">
        <f t="shared" ref="Q41:Q57" si="196">1/(1+P41*0.5*(2*PI()*M41/K41*O41)^2)</f>
        <v>0.9986097536618701</v>
      </c>
      <c r="R41" s="57">
        <v>-7.7000000000000002E-3</v>
      </c>
      <c r="S41" s="57">
        <f t="shared" ref="S41:S54" si="197">1/(1+R41/100*((G41)-2.06843))</f>
        <v>1.0014742194667769</v>
      </c>
      <c r="T41" s="48">
        <f t="shared" ref="T41:T57" si="198">J41*S41*Q41</f>
        <v>4.8796740950180633</v>
      </c>
      <c r="U41" s="49">
        <f t="shared" ref="U41:U57" si="199">(J41-F41)/F41*100</f>
        <v>0.20938232758086631</v>
      </c>
      <c r="V41" s="6">
        <v>0.35</v>
      </c>
      <c r="W41" s="190"/>
      <c r="X41" s="188"/>
      <c r="Y41" s="188"/>
      <c r="Z41" s="185"/>
      <c r="AA41" s="185"/>
      <c r="AB41" s="188"/>
      <c r="AC41" s="188"/>
      <c r="AD41" s="189"/>
      <c r="AF41" s="52">
        <f t="shared" ref="AF41:AF57" si="200">J41/I41*3600</f>
        <v>403.26795415061474</v>
      </c>
      <c r="AG41" s="187"/>
      <c r="AI41" s="11" t="s">
        <v>45</v>
      </c>
      <c r="AJ41" s="50"/>
      <c r="AK41" s="10"/>
      <c r="AL41" s="48"/>
      <c r="AM41" s="48"/>
      <c r="AN41" s="48"/>
      <c r="AO41" s="48"/>
      <c r="AP41" s="48"/>
      <c r="AQ41" s="48"/>
      <c r="AR41" s="48"/>
      <c r="AS41" s="48"/>
      <c r="AT41" s="48"/>
      <c r="AU41" s="58"/>
      <c r="AV41" s="48"/>
      <c r="AW41" s="57"/>
      <c r="AX41" s="57"/>
      <c r="AY41" s="57"/>
      <c r="AZ41" s="48"/>
      <c r="BA41" s="49"/>
      <c r="BB41" s="6"/>
      <c r="BC41" s="190"/>
      <c r="BD41" s="188"/>
      <c r="BE41" s="188"/>
      <c r="BF41" s="185"/>
      <c r="BG41" s="185"/>
      <c r="BH41" s="188"/>
      <c r="BI41" s="188"/>
      <c r="BJ41" s="189"/>
      <c r="BL41" s="52"/>
      <c r="BM41" s="187"/>
      <c r="BO41" s="11" t="s">
        <v>45</v>
      </c>
      <c r="BP41" s="50">
        <v>45671.378888888888</v>
      </c>
      <c r="BQ41" s="10">
        <v>11.2</v>
      </c>
      <c r="BR41" s="48">
        <v>4.6386191435231776</v>
      </c>
      <c r="BS41" s="48">
        <v>20.942296580983584</v>
      </c>
      <c r="BT41" s="48">
        <v>20.456137758361205</v>
      </c>
      <c r="BU41" s="48">
        <v>42.810655164949218</v>
      </c>
      <c r="BV41" s="48">
        <v>4.644975197269603</v>
      </c>
      <c r="BW41" s="48">
        <v>249.40925253399999</v>
      </c>
      <c r="BX41" s="48">
        <f t="shared" ref="BX41:BX56" si="201">SQRT(($BQ$32)*8.314*(BT41+273.15)/($BQ$33/1000))</f>
        <v>286.5119553428363</v>
      </c>
      <c r="BY41" s="48">
        <v>93.52</v>
      </c>
      <c r="BZ41" s="48">
        <v>44.7</v>
      </c>
      <c r="CA41" s="58">
        <f t="shared" ref="CA41:CA57" si="202">BZ41/2/1000</f>
        <v>2.2350000000000002E-2</v>
      </c>
      <c r="CB41" s="48">
        <v>1</v>
      </c>
      <c r="CC41" s="57">
        <f t="shared" ref="CC41:CC56" si="203">1/(1+CB41*0.5*(2*PI()*BY41/BW41*CA41)^2)</f>
        <v>0.99861558272671058</v>
      </c>
      <c r="CD41" s="57">
        <v>-7.7000000000000002E-3</v>
      </c>
      <c r="CE41" s="57">
        <f t="shared" ref="CE41:CE57" si="204">1/(1+CD41/100*((BS41)-2.06843))</f>
        <v>1.0014554028458289</v>
      </c>
      <c r="CF41" s="48">
        <f>BV41*CE41*CC41</f>
        <v>4.6452955644033089</v>
      </c>
      <c r="CG41" s="49">
        <f t="shared" ref="CG41:CG57" si="205">(CF41-BR41)/BR41*100</f>
        <v>0.14393121473345113</v>
      </c>
      <c r="CH41" s="55">
        <v>0.22791465868776539</v>
      </c>
      <c r="CI41" s="190"/>
      <c r="CJ41" s="188"/>
      <c r="CK41" s="188"/>
      <c r="CL41" s="185"/>
      <c r="CM41" s="185"/>
      <c r="CN41" s="188"/>
      <c r="CO41" s="188"/>
      <c r="CP41" s="189"/>
      <c r="CR41" s="52">
        <f t="shared" si="193"/>
        <v>390.60160714058549</v>
      </c>
      <c r="CS41" s="187"/>
      <c r="CV41" s="188"/>
      <c r="CW41" s="188"/>
      <c r="CX41" s="188"/>
      <c r="CY41" s="188"/>
      <c r="CZ41" s="188"/>
      <c r="DA41" s="188"/>
      <c r="DC41" s="198"/>
      <c r="DD41" s="188"/>
      <c r="DE41" s="188"/>
      <c r="DF41" s="188"/>
      <c r="DH41" s="185"/>
      <c r="DI41" s="185"/>
      <c r="DJ41" s="197"/>
      <c r="DK41" s="185"/>
      <c r="DL41" s="185"/>
      <c r="DM41" s="197"/>
      <c r="DN41" s="196"/>
      <c r="DO41" s="185"/>
      <c r="DP41" s="197"/>
    </row>
    <row r="42" spans="2:120" x14ac:dyDescent="0.25">
      <c r="B42" s="13"/>
      <c r="C42" s="11" t="s">
        <v>45</v>
      </c>
      <c r="D42" s="50" t="s">
        <v>77</v>
      </c>
      <c r="E42" s="10">
        <v>4</v>
      </c>
      <c r="F42" s="48">
        <v>4.8696983478349898</v>
      </c>
      <c r="G42" s="48">
        <v>21.193093795637004</v>
      </c>
      <c r="H42" s="48">
        <v>20.029393823690999</v>
      </c>
      <c r="I42" s="48">
        <v>43.569581453315202</v>
      </c>
      <c r="J42" s="48">
        <v>4.8835319155648804</v>
      </c>
      <c r="K42" s="48">
        <v>248.89781839899999</v>
      </c>
      <c r="L42" s="48">
        <f t="shared" si="194"/>
        <v>285.33478170352993</v>
      </c>
      <c r="M42" s="48">
        <v>93.52</v>
      </c>
      <c r="N42" s="48">
        <v>44.7</v>
      </c>
      <c r="O42" s="58">
        <f t="shared" si="195"/>
        <v>2.2350000000000002E-2</v>
      </c>
      <c r="P42" s="48">
        <v>1</v>
      </c>
      <c r="Q42" s="57">
        <f t="shared" si="196"/>
        <v>0.99860989540945189</v>
      </c>
      <c r="R42" s="57">
        <v>-7.7000000000000002E-3</v>
      </c>
      <c r="S42" s="57">
        <f t="shared" si="197"/>
        <v>1.001474770858521</v>
      </c>
      <c r="T42" s="48">
        <f t="shared" si="198"/>
        <v>4.8839353743275549</v>
      </c>
      <c r="U42" s="49">
        <f t="shared" si="199"/>
        <v>0.28407442806063909</v>
      </c>
      <c r="V42" s="6">
        <v>0.35</v>
      </c>
      <c r="W42" s="190"/>
      <c r="X42" s="188"/>
      <c r="Y42" s="188"/>
      <c r="Z42" s="185"/>
      <c r="AA42" s="185"/>
      <c r="AB42" s="188"/>
      <c r="AC42" s="188"/>
      <c r="AD42" s="189"/>
      <c r="AF42" s="52">
        <f t="shared" si="200"/>
        <v>403.50892318925077</v>
      </c>
      <c r="AG42" s="187"/>
      <c r="AI42" s="11" t="s">
        <v>45</v>
      </c>
      <c r="AJ42" s="50"/>
      <c r="AK42" s="10"/>
      <c r="AL42" s="48"/>
      <c r="AM42" s="48"/>
      <c r="AN42" s="48"/>
      <c r="AO42" s="48"/>
      <c r="AP42" s="48"/>
      <c r="AQ42" s="48"/>
      <c r="AR42" s="48"/>
      <c r="AS42" s="48"/>
      <c r="AT42" s="48"/>
      <c r="AU42" s="58"/>
      <c r="AV42" s="48"/>
      <c r="AW42" s="57"/>
      <c r="AX42" s="57"/>
      <c r="AY42" s="57"/>
      <c r="AZ42" s="48"/>
      <c r="BA42" s="49"/>
      <c r="BB42" s="6"/>
      <c r="BC42" s="190"/>
      <c r="BD42" s="188"/>
      <c r="BE42" s="188"/>
      <c r="BF42" s="185"/>
      <c r="BG42" s="185"/>
      <c r="BH42" s="188"/>
      <c r="BI42" s="188"/>
      <c r="BJ42" s="189"/>
      <c r="BL42" s="52"/>
      <c r="BM42" s="187"/>
      <c r="BO42" s="11" t="s">
        <v>45</v>
      </c>
      <c r="BP42" s="50">
        <v>45671.380335648151</v>
      </c>
      <c r="BQ42" s="10">
        <v>11.3</v>
      </c>
      <c r="BR42" s="48">
        <v>4.6428735873671494</v>
      </c>
      <c r="BS42" s="48">
        <v>20.958795522905703</v>
      </c>
      <c r="BT42" s="48">
        <v>20.409553863712375</v>
      </c>
      <c r="BU42" s="48">
        <v>42.857815736332057</v>
      </c>
      <c r="BV42" s="48">
        <v>4.6284844266710792</v>
      </c>
      <c r="BW42" s="48">
        <v>249.35867945300001</v>
      </c>
      <c r="BX42" s="48">
        <f t="shared" si="201"/>
        <v>286.48922527953846</v>
      </c>
      <c r="BY42" s="48">
        <v>93.52</v>
      </c>
      <c r="BZ42" s="48">
        <v>44.7</v>
      </c>
      <c r="CA42" s="58">
        <f t="shared" si="202"/>
        <v>2.2350000000000002E-2</v>
      </c>
      <c r="CB42" s="48">
        <v>1</v>
      </c>
      <c r="CC42" s="57">
        <f t="shared" si="203"/>
        <v>0.99861502189306395</v>
      </c>
      <c r="CD42" s="57">
        <v>-7.7000000000000002E-3</v>
      </c>
      <c r="CE42" s="57">
        <f t="shared" si="204"/>
        <v>1.0014566769666104</v>
      </c>
      <c r="CF42" s="48">
        <f t="shared" ref="CF42:CF57" si="206">BV42*CE42*CC42</f>
        <v>4.6288069459178836</v>
      </c>
      <c r="CG42" s="49">
        <f t="shared" si="205"/>
        <v>-0.30297274273286118</v>
      </c>
      <c r="CH42" s="55">
        <v>0.2219071023740517</v>
      </c>
      <c r="CI42" s="190"/>
      <c r="CJ42" s="188"/>
      <c r="CK42" s="188"/>
      <c r="CL42" s="185"/>
      <c r="CM42" s="185"/>
      <c r="CN42" s="188"/>
      <c r="CO42" s="188"/>
      <c r="CP42" s="189"/>
      <c r="CR42" s="52">
        <f t="shared" si="193"/>
        <v>388.78658769094636</v>
      </c>
      <c r="CS42" s="187"/>
      <c r="CV42" s="188"/>
      <c r="CW42" s="188"/>
      <c r="CX42" s="188"/>
      <c r="CY42" s="188"/>
      <c r="CZ42" s="188"/>
      <c r="DA42" s="188"/>
      <c r="DC42" s="198"/>
      <c r="DD42" s="188"/>
      <c r="DE42" s="188"/>
      <c r="DF42" s="188"/>
      <c r="DH42" s="185"/>
      <c r="DI42" s="185"/>
      <c r="DJ42" s="197"/>
      <c r="DK42" s="185"/>
      <c r="DL42" s="185"/>
      <c r="DM42" s="197"/>
      <c r="DN42" s="196"/>
      <c r="DO42" s="185"/>
      <c r="DP42" s="197"/>
    </row>
    <row r="43" spans="2:120" x14ac:dyDescent="0.25">
      <c r="B43" s="13"/>
      <c r="C43" s="11" t="s">
        <v>45</v>
      </c>
      <c r="D43" s="50" t="s">
        <v>78</v>
      </c>
      <c r="E43" s="10">
        <v>5</v>
      </c>
      <c r="F43" s="48">
        <v>3.4118046655913301</v>
      </c>
      <c r="G43" s="48">
        <v>21.303687221819736</v>
      </c>
      <c r="H43" s="48">
        <v>20.094331830544</v>
      </c>
      <c r="I43" s="48">
        <v>43.817240938154299</v>
      </c>
      <c r="J43" s="48">
        <v>3.4176640513721201</v>
      </c>
      <c r="K43" s="48">
        <v>248.83009356599999</v>
      </c>
      <c r="L43" s="48">
        <f t="shared" si="194"/>
        <v>285.36638018296884</v>
      </c>
      <c r="M43" s="48">
        <v>93.52</v>
      </c>
      <c r="N43" s="48">
        <v>44.7</v>
      </c>
      <c r="O43" s="58">
        <f t="shared" si="195"/>
        <v>2.2350000000000002E-2</v>
      </c>
      <c r="P43" s="48">
        <v>1</v>
      </c>
      <c r="Q43" s="57">
        <f t="shared" si="196"/>
        <v>0.99860913966120679</v>
      </c>
      <c r="R43" s="57">
        <v>-7.7000000000000002E-3</v>
      </c>
      <c r="S43" s="57">
        <f t="shared" si="197"/>
        <v>1.0014833117610915</v>
      </c>
      <c r="T43" s="48">
        <f t="shared" si="198"/>
        <v>3.41797296836197</v>
      </c>
      <c r="U43" s="49">
        <f t="shared" si="199"/>
        <v>0.17173860625384005</v>
      </c>
      <c r="V43" s="6">
        <v>0.35</v>
      </c>
      <c r="W43" s="190">
        <f t="shared" ref="W43" si="207">AVERAGE(U43:U45)</f>
        <v>0.18205485376734054</v>
      </c>
      <c r="X43" s="188">
        <f t="shared" ref="X43" si="208">STDEV(U43:U45)</f>
        <v>1.4768014124200207E-2</v>
      </c>
      <c r="Y43" s="188">
        <f t="shared" ref="Y43" si="209">COUNT(V43:V45)</f>
        <v>3</v>
      </c>
      <c r="Z43" s="185">
        <f t="shared" ref="Z43" si="210">TINV(0.05,Y43-1)</f>
        <v>4.3026527297494637</v>
      </c>
      <c r="AA43" s="185">
        <f t="shared" ref="AA43" si="211">X43*Z43/SQRT(Y43)</f>
        <v>3.6685780813587275E-2</v>
      </c>
      <c r="AB43" s="188">
        <f t="shared" ref="AB43" si="212">AVERAGE(V43:V45)</f>
        <v>0.34999999999999992</v>
      </c>
      <c r="AC43" s="188">
        <f t="shared" ref="AC43" si="213">SQRT(AA43^2+AB43^2)</f>
        <v>0.35191738592161442</v>
      </c>
      <c r="AD43" s="189">
        <f t="shared" ref="AD43" si="214">AVERAGE(F43:F45)</f>
        <v>3.4099769410497269</v>
      </c>
      <c r="AF43" s="52">
        <f t="shared" si="200"/>
        <v>280.79336629856488</v>
      </c>
      <c r="AG43" s="187">
        <f t="shared" ref="AG43" si="215">AVERAGE(AF43:AF45)</f>
        <v>280.75201401120722</v>
      </c>
      <c r="AI43" s="11" t="s">
        <v>45</v>
      </c>
      <c r="AJ43" s="178">
        <v>45800</v>
      </c>
      <c r="AK43" s="10"/>
      <c r="AL43" s="170">
        <v>3.3333823291600129</v>
      </c>
      <c r="AM43" s="171">
        <v>21.03</v>
      </c>
      <c r="AN43" s="171">
        <v>21.58</v>
      </c>
      <c r="AO43" s="48">
        <v>42.839685674899997</v>
      </c>
      <c r="AP43" s="171">
        <v>3.330590901692708</v>
      </c>
      <c r="AQ43" s="48">
        <v>250.02705241300001</v>
      </c>
      <c r="AR43" s="48">
        <f>SQRT(($AK$32)*8.314*(AN43+273.15)/($AK$33/1000))</f>
        <v>285.11359472948368</v>
      </c>
      <c r="AS43" s="48">
        <v>93.52</v>
      </c>
      <c r="AT43" s="48">
        <v>44.7</v>
      </c>
      <c r="AU43" s="58">
        <f t="shared" ref="AU43:AU48" si="216">AT43/2/1000</f>
        <v>2.2350000000000002E-2</v>
      </c>
      <c r="AV43" s="48">
        <v>1</v>
      </c>
      <c r="AW43" s="57">
        <f>1/(1+AV43*0.5*(2*PI()*AS43/AQ43*AU43)^2)</f>
        <v>0.99862240646310441</v>
      </c>
      <c r="AX43" s="57">
        <v>-7.7000000000000002E-3</v>
      </c>
      <c r="AY43" s="57">
        <f>1/(1+AX43/100*((AM43)-2.06843))</f>
        <v>1.0014621757263489</v>
      </c>
      <c r="AZ43" s="48">
        <f>AP43*AY43*AW43</f>
        <v>3.3308659016079472</v>
      </c>
      <c r="BA43" s="49">
        <f>(AZ43-AL43)/AL43*100</f>
        <v>-7.5491716928247923E-2</v>
      </c>
      <c r="BB43" s="6">
        <v>0.27</v>
      </c>
      <c r="BC43" s="190">
        <f>AVERAGE(BA43:BA45)</f>
        <v>-4.561018965830644E-2</v>
      </c>
      <c r="BD43" s="188">
        <f t="shared" ref="BD43" si="217">STDEV(BA43:BA45)</f>
        <v>6.7843589714804822E-2</v>
      </c>
      <c r="BE43" s="188">
        <f t="shared" ref="BE43" si="218">COUNT(BB43:BB45)</f>
        <v>3</v>
      </c>
      <c r="BF43" s="185">
        <f t="shared" ref="BF43" si="219">TINV(0.05,BE43-1)</f>
        <v>4.3026527297494637</v>
      </c>
      <c r="BG43" s="185">
        <f>BD43*BF43/SQRT(BE43)</f>
        <v>0.16853281971106354</v>
      </c>
      <c r="BH43" s="188">
        <f t="shared" ref="BH43" si="220">AVERAGE(BB43:BB45)</f>
        <v>0.27</v>
      </c>
      <c r="BI43" s="188">
        <f t="shared" ref="BI43" si="221">SQRT(BG43^2+BH43^2)</f>
        <v>0.31828181116702514</v>
      </c>
      <c r="BJ43" s="189">
        <f>AVERAGE(AL43:AL45)</f>
        <v>3.3332560733290122</v>
      </c>
      <c r="BL43" s="52">
        <f t="shared" ref="BL43:BL57" si="222">AP43/AO43*3600</f>
        <v>279.88364193621589</v>
      </c>
      <c r="BM43" s="187">
        <f t="shared" ref="BM43" si="223">AVERAGE(BL43:BL45)</f>
        <v>279.7466428539023</v>
      </c>
      <c r="BO43" s="11" t="s">
        <v>45</v>
      </c>
      <c r="BP43" s="50">
        <v>45671.39199074074</v>
      </c>
      <c r="BQ43" s="10">
        <v>13.1</v>
      </c>
      <c r="BR43" s="48">
        <v>3.5420257755178564</v>
      </c>
      <c r="BS43" s="48">
        <v>22.209324170089015</v>
      </c>
      <c r="BT43" s="48">
        <v>20.664435526315788</v>
      </c>
      <c r="BU43" s="48">
        <v>45.762506818723239</v>
      </c>
      <c r="BV43" s="48">
        <v>3.5441521414053656</v>
      </c>
      <c r="BW43" s="48">
        <v>248.31930770700001</v>
      </c>
      <c r="BX43" s="48">
        <f t="shared" si="201"/>
        <v>286.61356973703187</v>
      </c>
      <c r="BY43" s="48">
        <v>93.52</v>
      </c>
      <c r="BZ43" s="48">
        <v>44.7</v>
      </c>
      <c r="CA43" s="58">
        <f t="shared" si="202"/>
        <v>2.2350000000000002E-2</v>
      </c>
      <c r="CB43" s="48">
        <v>1</v>
      </c>
      <c r="CC43" s="57">
        <f t="shared" si="203"/>
        <v>0.99860341985413081</v>
      </c>
      <c r="CD43" s="57">
        <v>-7.7000000000000002E-3</v>
      </c>
      <c r="CE43" s="57">
        <f t="shared" si="204"/>
        <v>1.001553257719046</v>
      </c>
      <c r="CF43" s="48">
        <f t="shared" si="206"/>
        <v>3.5446997424137452</v>
      </c>
      <c r="CG43" s="49">
        <f t="shared" si="205"/>
        <v>7.5492587162155594E-2</v>
      </c>
      <c r="CH43" s="55">
        <v>0.22156941151337928</v>
      </c>
      <c r="CI43" s="190">
        <f t="shared" ref="CI43" si="224">AVERAGE(CG43:CG45)</f>
        <v>1.251231068323152E-2</v>
      </c>
      <c r="CJ43" s="188">
        <f t="shared" ref="CJ43" si="225">STDEV(CG43:CG45)</f>
        <v>8.0470878149698388E-2</v>
      </c>
      <c r="CK43" s="188">
        <f t="shared" ref="CK43" si="226">COUNT(CH43:CH45)</f>
        <v>3</v>
      </c>
      <c r="CL43" s="185">
        <f t="shared" ref="CL43" si="227">TINV(0.05,CK43-1)</f>
        <v>4.3026527297494637</v>
      </c>
      <c r="CM43" s="185">
        <f t="shared" ref="CM43" si="228">CJ43*CL43/SQRT(CK43)</f>
        <v>0.19990074310933148</v>
      </c>
      <c r="CN43" s="188">
        <f t="shared" ref="CN43" si="229">AVERAGE(CH43:CH45)</f>
        <v>0.22173020113033948</v>
      </c>
      <c r="CO43" s="188">
        <f t="shared" ref="CO43" si="230">SQRT(CM43^2+CN43^2)</f>
        <v>0.29853741673191275</v>
      </c>
      <c r="CP43" s="189">
        <f>AVERAGE(BR43:BR45)</f>
        <v>3.5427122243414639</v>
      </c>
      <c r="CR43" s="52">
        <f t="shared" si="193"/>
        <v>278.80788435827407</v>
      </c>
      <c r="CS43" s="187">
        <f t="shared" ref="CS43" si="231">AVERAGE(CR43:CR45)</f>
        <v>278.61247069958898</v>
      </c>
      <c r="CV43" s="188">
        <f>W43*CW43</f>
        <v>1.4700117839390254</v>
      </c>
      <c r="CW43" s="188">
        <f>1/AC43^2</f>
        <v>8.0745541990198557</v>
      </c>
      <c r="CX43" s="188">
        <f t="shared" ref="CX43" si="232">BC43*CY43</f>
        <v>-0.45023394659172394</v>
      </c>
      <c r="CY43" s="188">
        <f t="shared" ref="CY43" si="233">1/BI43^2</f>
        <v>9.8713456349271773</v>
      </c>
      <c r="CZ43" s="188">
        <f t="shared" ref="CZ43" si="234">CI43*DA43</f>
        <v>0.14039122981765076</v>
      </c>
      <c r="DA43" s="188">
        <f t="shared" ref="DA43" si="235">1/CO43^2</f>
        <v>11.220248071828753</v>
      </c>
      <c r="DC43" s="198">
        <f>AVERAGE(AD43,BJ43,CP43)</f>
        <v>3.4286484129067341</v>
      </c>
      <c r="DD43" s="188">
        <f t="shared" ref="DD43" si="236">SUM(CV43,CX43,CZ43)/SUM(CW43,CY43,DA43)</f>
        <v>3.9777932653739426E-2</v>
      </c>
      <c r="DE43" s="188">
        <f t="shared" ref="DE43" si="237">SUM(CW43,CY43,DA43)</f>
        <v>29.166147905775784</v>
      </c>
      <c r="DF43" s="188">
        <f t="shared" ref="DF43" si="238">SQRT(DE43^-1)</f>
        <v>0.18516566664822426</v>
      </c>
      <c r="DH43" s="185">
        <f>W43-DD43</f>
        <v>0.14227692111360113</v>
      </c>
      <c r="DI43" s="185">
        <f>SQRT(AC43^2-DF43^2)</f>
        <v>0.29926497023310494</v>
      </c>
      <c r="DJ43" s="197">
        <f t="shared" ref="DJ43" si="239">ABS(DH43/DI43)</f>
        <v>0.475421232905335</v>
      </c>
      <c r="DK43" s="185">
        <f t="shared" ref="DK43" si="240">BC43-DD43</f>
        <v>-8.5388122312045872E-2</v>
      </c>
      <c r="DL43" s="185">
        <f t="shared" ref="DL43" si="241">SQRT(BI43^2-DF43^2)</f>
        <v>0.25887639369876997</v>
      </c>
      <c r="DM43" s="197">
        <f t="shared" ref="DM43" si="242">ABS(DK43/DL43)</f>
        <v>0.32984128483883307</v>
      </c>
      <c r="DN43" s="196">
        <f t="shared" ref="DN43" si="243">CI43-DD43</f>
        <v>-2.7265621970507907E-2</v>
      </c>
      <c r="DO43" s="185">
        <f t="shared" ref="DO43" si="244">SQRT(CO43^2-DF43^2)</f>
        <v>0.23417571412015045</v>
      </c>
      <c r="DP43" s="197">
        <f t="shared" ref="DP43" si="245">ABS(DN43/DO43)</f>
        <v>0.11643232122917115</v>
      </c>
    </row>
    <row r="44" spans="2:120" x14ac:dyDescent="0.25">
      <c r="B44" s="13"/>
      <c r="C44" s="11" t="s">
        <v>45</v>
      </c>
      <c r="D44" s="50" t="s">
        <v>79</v>
      </c>
      <c r="E44" s="10">
        <v>6</v>
      </c>
      <c r="F44" s="48">
        <v>3.40992855090512</v>
      </c>
      <c r="G44" s="48">
        <v>21.2909405298102</v>
      </c>
      <c r="H44" s="48">
        <v>20.013025828652001</v>
      </c>
      <c r="I44" s="48">
        <v>43.805563662133203</v>
      </c>
      <c r="J44" s="48">
        <v>3.4159114040932801</v>
      </c>
      <c r="K44" s="48">
        <v>248.78878787599999</v>
      </c>
      <c r="L44" s="48">
        <f t="shared" si="194"/>
        <v>285.32681657436791</v>
      </c>
      <c r="M44" s="48">
        <v>93.52</v>
      </c>
      <c r="N44" s="48">
        <v>44.7</v>
      </c>
      <c r="O44" s="58">
        <f t="shared" si="195"/>
        <v>2.2350000000000002E-2</v>
      </c>
      <c r="P44" s="48">
        <v>1</v>
      </c>
      <c r="Q44" s="57">
        <f t="shared" si="196"/>
        <v>0.99860867842437251</v>
      </c>
      <c r="R44" s="57">
        <v>-7.7000000000000002E-3</v>
      </c>
      <c r="S44" s="57">
        <f t="shared" si="197"/>
        <v>1.0014823273528879</v>
      </c>
      <c r="T44" s="48">
        <f t="shared" si="198"/>
        <v>3.4162152268103818</v>
      </c>
      <c r="U44" s="49">
        <f t="shared" si="199"/>
        <v>0.17545391637522684</v>
      </c>
      <c r="V44" s="6">
        <v>0.35</v>
      </c>
      <c r="W44" s="190"/>
      <c r="X44" s="188"/>
      <c r="Y44" s="188"/>
      <c r="Z44" s="185"/>
      <c r="AA44" s="185"/>
      <c r="AB44" s="188"/>
      <c r="AC44" s="188"/>
      <c r="AD44" s="189"/>
      <c r="AF44" s="52">
        <f t="shared" si="200"/>
        <v>280.72418265367361</v>
      </c>
      <c r="AG44" s="187"/>
      <c r="AI44" s="11" t="s">
        <v>45</v>
      </c>
      <c r="AJ44" s="178">
        <v>45800</v>
      </c>
      <c r="AK44" s="10"/>
      <c r="AL44" s="170">
        <v>3.3328024536404901</v>
      </c>
      <c r="AM44" s="171">
        <v>21.04</v>
      </c>
      <c r="AN44" s="171">
        <v>21.67</v>
      </c>
      <c r="AO44" s="48">
        <v>42.843336284099998</v>
      </c>
      <c r="AP44" s="171">
        <v>3.3335909016927086</v>
      </c>
      <c r="AQ44" s="48">
        <v>250.07397052799999</v>
      </c>
      <c r="AR44" s="48">
        <f t="shared" ref="AR44:AR57" si="246">SQRT(($AK$32)*8.314*(AN44+273.15)/($AK$33/1000))</f>
        <v>285.15712315362799</v>
      </c>
      <c r="AS44" s="48">
        <v>93.52</v>
      </c>
      <c r="AT44" s="48">
        <v>44.7</v>
      </c>
      <c r="AU44" s="58">
        <f t="shared" si="216"/>
        <v>2.2350000000000002E-2</v>
      </c>
      <c r="AV44" s="48">
        <v>1</v>
      </c>
      <c r="AW44" s="57">
        <f t="shared" ref="AW44:AW48" si="247">1/(1+AV44*0.5*(2*PI()*AS44/AQ44*AU44)^2)</f>
        <v>0.99862292262262964</v>
      </c>
      <c r="AX44" s="57">
        <v>-7.7000000000000002E-3</v>
      </c>
      <c r="AY44" s="57">
        <f t="shared" ref="AY44:AY48" si="248">1/(1+AX44/100*((AM44)-2.06843))</f>
        <v>1.0014629479803412</v>
      </c>
      <c r="AZ44" s="48">
        <f t="shared" ref="AZ44:AZ48" si="249">AP44*AY44*AW44</f>
        <v>3.33387044332604</v>
      </c>
      <c r="BA44" s="49">
        <f t="shared" ref="BA44:BA48" si="250">(AZ44-AL44)/AL44*100</f>
        <v>3.2044794145638558E-2</v>
      </c>
      <c r="BB44" s="6">
        <v>0.27</v>
      </c>
      <c r="BC44" s="190"/>
      <c r="BD44" s="188"/>
      <c r="BE44" s="188"/>
      <c r="BF44" s="185"/>
      <c r="BG44" s="185"/>
      <c r="BH44" s="188"/>
      <c r="BI44" s="188"/>
      <c r="BJ44" s="189"/>
      <c r="BL44" s="52">
        <f t="shared" si="222"/>
        <v>280.11187472688795</v>
      </c>
      <c r="BM44" s="187"/>
      <c r="BO44" s="11" t="s">
        <v>45</v>
      </c>
      <c r="BP44" s="50">
        <v>45671.393437500003</v>
      </c>
      <c r="BQ44" s="10">
        <v>13.2</v>
      </c>
      <c r="BR44" s="48">
        <v>3.5428750455144029</v>
      </c>
      <c r="BS44" s="48">
        <v>22.20199816637367</v>
      </c>
      <c r="BT44" s="48">
        <v>20.534486252297409</v>
      </c>
      <c r="BU44" s="48">
        <v>45.777336816641224</v>
      </c>
      <c r="BV44" s="48">
        <v>3.5437563153195484</v>
      </c>
      <c r="BW44" s="48">
        <v>248.24478303999999</v>
      </c>
      <c r="BX44" s="48">
        <f t="shared" si="201"/>
        <v>286.55018050227142</v>
      </c>
      <c r="BY44" s="48">
        <v>93.52</v>
      </c>
      <c r="BZ44" s="48">
        <v>44.7</v>
      </c>
      <c r="CA44" s="58">
        <f t="shared" si="202"/>
        <v>2.2350000000000002E-2</v>
      </c>
      <c r="CB44" s="48">
        <v>1</v>
      </c>
      <c r="CC44" s="57">
        <f t="shared" si="203"/>
        <v>0.99860258237567801</v>
      </c>
      <c r="CD44" s="57">
        <v>-7.7000000000000002E-3</v>
      </c>
      <c r="CE44" s="57">
        <f t="shared" si="204"/>
        <v>1.0015526918633262</v>
      </c>
      <c r="CF44" s="48">
        <f t="shared" si="206"/>
        <v>3.5442988802875557</v>
      </c>
      <c r="CG44" s="49">
        <f t="shared" si="205"/>
        <v>4.0188681645870604E-2</v>
      </c>
      <c r="CH44" s="55">
        <v>0.22218856862509423</v>
      </c>
      <c r="CI44" s="190"/>
      <c r="CJ44" s="188"/>
      <c r="CK44" s="188"/>
      <c r="CL44" s="185"/>
      <c r="CM44" s="185"/>
      <c r="CN44" s="188"/>
      <c r="CO44" s="188"/>
      <c r="CP44" s="189"/>
      <c r="CR44" s="52">
        <f t="shared" si="193"/>
        <v>278.68643355663039</v>
      </c>
      <c r="CS44" s="187"/>
      <c r="CV44" s="188"/>
      <c r="CW44" s="188"/>
      <c r="CX44" s="188"/>
      <c r="CY44" s="188"/>
      <c r="CZ44" s="188"/>
      <c r="DA44" s="188"/>
      <c r="DC44" s="198"/>
      <c r="DD44" s="188"/>
      <c r="DE44" s="188"/>
      <c r="DF44" s="188"/>
      <c r="DH44" s="185"/>
      <c r="DI44" s="185"/>
      <c r="DJ44" s="197"/>
      <c r="DK44" s="185"/>
      <c r="DL44" s="185"/>
      <c r="DM44" s="197"/>
      <c r="DN44" s="196"/>
      <c r="DO44" s="185"/>
      <c r="DP44" s="197"/>
    </row>
    <row r="45" spans="2:120" x14ac:dyDescent="0.25">
      <c r="B45" s="13"/>
      <c r="C45" s="11" t="s">
        <v>45</v>
      </c>
      <c r="D45" s="50" t="s">
        <v>80</v>
      </c>
      <c r="E45" s="10">
        <v>8</v>
      </c>
      <c r="F45" s="48">
        <v>3.4081976066527302</v>
      </c>
      <c r="G45" s="48">
        <v>21.282152807657887</v>
      </c>
      <c r="H45" s="48">
        <v>19.984087245489</v>
      </c>
      <c r="I45" s="48">
        <v>43.791373765484302</v>
      </c>
      <c r="J45" s="48">
        <v>3.41497896691269</v>
      </c>
      <c r="K45" s="48">
        <v>248.77932185700001</v>
      </c>
      <c r="L45" s="48">
        <f t="shared" si="194"/>
        <v>285.31273369750954</v>
      </c>
      <c r="M45" s="48">
        <v>93.52</v>
      </c>
      <c r="N45" s="48">
        <v>44.7</v>
      </c>
      <c r="O45" s="58">
        <f t="shared" si="195"/>
        <v>2.2350000000000002E-2</v>
      </c>
      <c r="P45" s="48">
        <v>1</v>
      </c>
      <c r="Q45" s="57">
        <f t="shared" si="196"/>
        <v>0.99860857269049474</v>
      </c>
      <c r="R45" s="57">
        <v>-7.7000000000000002E-3</v>
      </c>
      <c r="S45" s="57">
        <f t="shared" si="197"/>
        <v>1.0014816486912079</v>
      </c>
      <c r="T45" s="48">
        <f t="shared" si="198"/>
        <v>3.4152800306908988</v>
      </c>
      <c r="U45" s="49">
        <f t="shared" si="199"/>
        <v>0.19897203867295482</v>
      </c>
      <c r="V45" s="6">
        <v>0.35</v>
      </c>
      <c r="W45" s="190"/>
      <c r="X45" s="188"/>
      <c r="Y45" s="188"/>
      <c r="Z45" s="185"/>
      <c r="AA45" s="185"/>
      <c r="AB45" s="188"/>
      <c r="AC45" s="188"/>
      <c r="AD45" s="189"/>
      <c r="AF45" s="52">
        <f t="shared" si="200"/>
        <v>280.73849308138324</v>
      </c>
      <c r="AG45" s="187"/>
      <c r="AI45" s="11" t="s">
        <v>45</v>
      </c>
      <c r="AJ45" s="178">
        <v>45800</v>
      </c>
      <c r="AK45" s="10"/>
      <c r="AL45" s="170">
        <v>3.3335834371865332</v>
      </c>
      <c r="AM45" s="171">
        <v>21.08</v>
      </c>
      <c r="AN45" s="171">
        <v>21.69</v>
      </c>
      <c r="AO45" s="48">
        <v>42.932477719700003</v>
      </c>
      <c r="AP45" s="170">
        <v>3.3301818033854169</v>
      </c>
      <c r="AQ45" s="48">
        <v>250.04898550600001</v>
      </c>
      <c r="AR45" s="48">
        <f t="shared" si="246"/>
        <v>285.16679523446356</v>
      </c>
      <c r="AS45" s="48">
        <v>93.52</v>
      </c>
      <c r="AT45" s="48">
        <v>44.7</v>
      </c>
      <c r="AU45" s="58">
        <f t="shared" si="216"/>
        <v>2.2350000000000002E-2</v>
      </c>
      <c r="AV45" s="48">
        <v>1</v>
      </c>
      <c r="AW45" s="57">
        <f t="shared" si="247"/>
        <v>0.9986226477913962</v>
      </c>
      <c r="AX45" s="57">
        <v>-7.7000000000000002E-3</v>
      </c>
      <c r="AY45" s="57">
        <f t="shared" si="248"/>
        <v>1.0014660370082207</v>
      </c>
      <c r="AZ45" s="48">
        <f t="shared" si="249"/>
        <v>3.3304704154240254</v>
      </c>
      <c r="BA45" s="49">
        <f t="shared" si="250"/>
        <v>-9.338364619230996E-2</v>
      </c>
      <c r="BB45" s="6">
        <v>0.27</v>
      </c>
      <c r="BC45" s="190"/>
      <c r="BD45" s="188"/>
      <c r="BE45" s="188"/>
      <c r="BF45" s="185"/>
      <c r="BG45" s="185"/>
      <c r="BH45" s="188"/>
      <c r="BI45" s="188"/>
      <c r="BJ45" s="189"/>
      <c r="BL45" s="52">
        <f t="shared" si="222"/>
        <v>279.24441189860295</v>
      </c>
      <c r="BM45" s="187"/>
      <c r="BN45" s="19"/>
      <c r="BO45" s="11" t="s">
        <v>45</v>
      </c>
      <c r="BP45" s="50">
        <v>45671.39503472222</v>
      </c>
      <c r="BQ45" s="10">
        <v>13.3</v>
      </c>
      <c r="BR45" s="48">
        <v>3.5432358519921316</v>
      </c>
      <c r="BS45" s="48">
        <v>22.192023286499211</v>
      </c>
      <c r="BT45" s="48">
        <v>20.403318392976587</v>
      </c>
      <c r="BU45" s="48">
        <v>45.784324818497154</v>
      </c>
      <c r="BV45" s="48">
        <v>3.5399307319720825</v>
      </c>
      <c r="BW45" s="48">
        <v>248.170209059</v>
      </c>
      <c r="BX45" s="48">
        <f t="shared" si="201"/>
        <v>286.48618261810384</v>
      </c>
      <c r="BY45" s="48">
        <v>93.52</v>
      </c>
      <c r="BZ45" s="48">
        <v>44.7</v>
      </c>
      <c r="CA45" s="58">
        <f t="shared" si="202"/>
        <v>2.2350000000000002E-2</v>
      </c>
      <c r="CB45" s="48">
        <v>1</v>
      </c>
      <c r="CC45" s="57">
        <f t="shared" si="203"/>
        <v>0.9986017435891239</v>
      </c>
      <c r="CD45" s="57">
        <v>-7.7000000000000002E-3</v>
      </c>
      <c r="CE45" s="57">
        <f t="shared" si="204"/>
        <v>1.0015519214111779</v>
      </c>
      <c r="CF45" s="48">
        <f t="shared" si="206"/>
        <v>3.540467013835809</v>
      </c>
      <c r="CG45" s="49">
        <f t="shared" si="205"/>
        <v>-7.8144336758331642E-2</v>
      </c>
      <c r="CH45" s="55">
        <v>0.22143262325254498</v>
      </c>
      <c r="CI45" s="190"/>
      <c r="CJ45" s="188"/>
      <c r="CK45" s="188"/>
      <c r="CL45" s="185"/>
      <c r="CM45" s="185"/>
      <c r="CN45" s="188"/>
      <c r="CO45" s="188"/>
      <c r="CP45" s="189"/>
      <c r="CR45" s="52">
        <f t="shared" si="193"/>
        <v>278.34309418386232</v>
      </c>
      <c r="CS45" s="187"/>
      <c r="CV45" s="188"/>
      <c r="CW45" s="188"/>
      <c r="CX45" s="188"/>
      <c r="CY45" s="188"/>
      <c r="CZ45" s="188"/>
      <c r="DA45" s="188"/>
      <c r="DC45" s="198"/>
      <c r="DD45" s="188"/>
      <c r="DE45" s="188"/>
      <c r="DF45" s="188"/>
      <c r="DH45" s="185"/>
      <c r="DI45" s="185"/>
      <c r="DJ45" s="197"/>
      <c r="DK45" s="185"/>
      <c r="DL45" s="185"/>
      <c r="DM45" s="197"/>
      <c r="DN45" s="196"/>
      <c r="DO45" s="185"/>
      <c r="DP45" s="197"/>
    </row>
    <row r="46" spans="2:120" x14ac:dyDescent="0.25">
      <c r="B46" s="13"/>
      <c r="C46" s="11" t="s">
        <v>45</v>
      </c>
      <c r="D46" s="50" t="s">
        <v>81</v>
      </c>
      <c r="E46" s="10">
        <v>9</v>
      </c>
      <c r="F46" s="48">
        <v>1.95574357396198</v>
      </c>
      <c r="G46" s="48">
        <v>21.354259848846834</v>
      </c>
      <c r="H46" s="48">
        <v>20.067584036191001</v>
      </c>
      <c r="I46" s="48">
        <v>43.943521391156203</v>
      </c>
      <c r="J46" s="48">
        <v>1.9583057678731699</v>
      </c>
      <c r="K46" s="48">
        <v>248.769197056</v>
      </c>
      <c r="L46" s="48">
        <f t="shared" si="194"/>
        <v>285.35336527613549</v>
      </c>
      <c r="M46" s="48">
        <v>93.52</v>
      </c>
      <c r="N46" s="48">
        <v>44.7</v>
      </c>
      <c r="O46" s="58">
        <f t="shared" si="195"/>
        <v>2.2350000000000002E-2</v>
      </c>
      <c r="P46" s="48">
        <v>1</v>
      </c>
      <c r="Q46" s="57">
        <f t="shared" si="196"/>
        <v>0.9986084595847956</v>
      </c>
      <c r="R46" s="57">
        <v>-7.7000000000000002E-3</v>
      </c>
      <c r="S46" s="57">
        <f t="shared" si="197"/>
        <v>1.0014872174294778</v>
      </c>
      <c r="T46" s="48">
        <f t="shared" si="198"/>
        <v>1.9584890799629346</v>
      </c>
      <c r="U46" s="49">
        <f t="shared" si="199"/>
        <v>0.13100868361793513</v>
      </c>
      <c r="V46" s="6">
        <v>0.35</v>
      </c>
      <c r="W46" s="190">
        <f t="shared" ref="W46" si="251">AVERAGE(U46:U48)</f>
        <v>0.14708425771983724</v>
      </c>
      <c r="X46" s="188">
        <f t="shared" ref="X46" si="252">STDEV(U46:U48)</f>
        <v>2.192353562993625E-2</v>
      </c>
      <c r="Y46" s="188">
        <f t="shared" ref="Y46" si="253">COUNT(V46:V48)</f>
        <v>3</v>
      </c>
      <c r="Z46" s="185">
        <f t="shared" ref="Z46" si="254">TINV(0.05,Y46-1)</f>
        <v>4.3026527297494637</v>
      </c>
      <c r="AA46" s="185">
        <f t="shared" ref="AA46" si="255">X46*Z46/SQRT(Y46)</f>
        <v>5.4461081633226688E-2</v>
      </c>
      <c r="AB46" s="188">
        <f t="shared" ref="AB46" si="256">AVERAGE(V46:V48)</f>
        <v>0.34999999999999992</v>
      </c>
      <c r="AC46" s="188">
        <f t="shared" ref="AC46" si="257">SQRT(AA46^2+AB46^2)</f>
        <v>0.35421181433241455</v>
      </c>
      <c r="AD46" s="189">
        <f t="shared" ref="AD46" si="258">AVERAGE(F46:F48)</f>
        <v>1.9547833556650034</v>
      </c>
      <c r="AF46" s="52">
        <f t="shared" si="200"/>
        <v>160.43094729686891</v>
      </c>
      <c r="AG46" s="187">
        <f t="shared" ref="AG46" si="259">AVERAGE(AF46:AF48)</f>
        <v>160.42129767789331</v>
      </c>
      <c r="AI46" s="11" t="s">
        <v>45</v>
      </c>
      <c r="AJ46" s="177">
        <v>45800</v>
      </c>
      <c r="AK46" s="10"/>
      <c r="AL46" s="173">
        <v>1.9116769558130393</v>
      </c>
      <c r="AM46" s="174">
        <v>21</v>
      </c>
      <c r="AN46" s="174">
        <v>21.06</v>
      </c>
      <c r="AO46" s="48">
        <v>42.883727259899999</v>
      </c>
      <c r="AP46" s="176">
        <v>1.906767822265625</v>
      </c>
      <c r="AQ46" s="48">
        <v>249.72945294199999</v>
      </c>
      <c r="AR46" s="48">
        <f t="shared" si="246"/>
        <v>284.86196693223013</v>
      </c>
      <c r="AS46" s="48">
        <v>93.52</v>
      </c>
      <c r="AT46" s="48">
        <v>44.7</v>
      </c>
      <c r="AU46" s="58">
        <f t="shared" si="216"/>
        <v>2.2350000000000002E-2</v>
      </c>
      <c r="AV46" s="48">
        <v>1</v>
      </c>
      <c r="AW46" s="57">
        <f t="shared" si="247"/>
        <v>0.99861912572127876</v>
      </c>
      <c r="AX46" s="57">
        <v>-7.7000000000000002E-3</v>
      </c>
      <c r="AY46" s="57">
        <f t="shared" si="248"/>
        <v>1.0014598589715178</v>
      </c>
      <c r="AZ46" s="48">
        <f t="shared" si="249"/>
        <v>1.9069145839179338</v>
      </c>
      <c r="BA46" s="49">
        <f t="shared" si="250"/>
        <v>-0.24912011836644693</v>
      </c>
      <c r="BB46" s="6">
        <v>0.27</v>
      </c>
      <c r="BC46" s="190">
        <f t="shared" ref="BC46" si="260">AVERAGE(BA46:BA48)</f>
        <v>-0.19032310914915077</v>
      </c>
      <c r="BD46" s="188">
        <f t="shared" ref="BD46" si="261">STDEV(BA46:BA48)</f>
        <v>5.1175645026629107E-2</v>
      </c>
      <c r="BE46" s="188">
        <f t="shared" ref="BE46" si="262">COUNT(BB46:BB48)</f>
        <v>3</v>
      </c>
      <c r="BF46" s="185">
        <f t="shared" ref="BF46" si="263">TINV(0.05,BE46-1)</f>
        <v>4.3026527297494637</v>
      </c>
      <c r="BG46" s="185">
        <f>BD46*BF46/SQRT(BE46)</f>
        <v>0.12712734973379763</v>
      </c>
      <c r="BH46" s="188">
        <f t="shared" ref="BH46" si="264">AVERAGE(BB46:BB48)</f>
        <v>0.27</v>
      </c>
      <c r="BI46" s="188">
        <f t="shared" ref="BI46" si="265">SQRT(BG46^2+BH46^2)</f>
        <v>0.2984315047885181</v>
      </c>
      <c r="BJ46" s="189">
        <f>AVERAGE(AL46:AL48)</f>
        <v>1.9099364658821576</v>
      </c>
      <c r="BL46" s="52">
        <f t="shared" si="222"/>
        <v>160.06920570486477</v>
      </c>
      <c r="BM46" s="187">
        <f t="shared" ref="BM46" si="266">AVERAGE(BL46:BL48)</f>
        <v>159.99487187327972</v>
      </c>
      <c r="BN46" s="19"/>
      <c r="BO46" s="11" t="s">
        <v>45</v>
      </c>
      <c r="BP46" s="50">
        <v>45671.400810185187</v>
      </c>
      <c r="BQ46" s="10">
        <v>14.1</v>
      </c>
      <c r="BR46" s="48">
        <v>2.1426006306761503</v>
      </c>
      <c r="BS46" s="48">
        <v>23.023496373412122</v>
      </c>
      <c r="BT46" s="48">
        <v>21.132873280936455</v>
      </c>
      <c r="BU46" s="48">
        <v>47.602358354172267</v>
      </c>
      <c r="BV46" s="48">
        <v>2.1448461030790136</v>
      </c>
      <c r="BW46" s="48">
        <v>247.844241197</v>
      </c>
      <c r="BX46" s="48">
        <f t="shared" si="201"/>
        <v>286.84195733383046</v>
      </c>
      <c r="BY46" s="48">
        <v>93.52</v>
      </c>
      <c r="BZ46" s="48">
        <v>44.7</v>
      </c>
      <c r="CA46" s="58">
        <f t="shared" si="202"/>
        <v>2.2350000000000002E-2</v>
      </c>
      <c r="CB46" s="48">
        <v>1</v>
      </c>
      <c r="CC46" s="57">
        <f t="shared" si="203"/>
        <v>0.99859806832132825</v>
      </c>
      <c r="CD46" s="57">
        <v>-7.7000000000000002E-3</v>
      </c>
      <c r="CE46" s="57">
        <f t="shared" si="204"/>
        <v>1.0016161478301016</v>
      </c>
      <c r="CF46" s="48">
        <f t="shared" si="206"/>
        <v>2.1453007041169503</v>
      </c>
      <c r="CG46" s="49">
        <f t="shared" si="205"/>
        <v>0.12601851236961312</v>
      </c>
      <c r="CH46" s="55">
        <v>0.22069781613766667</v>
      </c>
      <c r="CI46" s="190">
        <f t="shared" ref="CI46" si="267">AVERAGE(CG46:CG48)</f>
        <v>0.12982435450260174</v>
      </c>
      <c r="CJ46" s="188">
        <f t="shared" ref="CJ46" si="268">STDEV(CG46:CG48)</f>
        <v>8.2187670924575174E-3</v>
      </c>
      <c r="CK46" s="188">
        <f t="shared" ref="CK46" si="269">COUNT(CH46:CH48)</f>
        <v>3</v>
      </c>
      <c r="CL46" s="185">
        <f t="shared" ref="CL46" si="270">TINV(0.05,CK46-1)</f>
        <v>4.3026527297494637</v>
      </c>
      <c r="CM46" s="185">
        <f t="shared" ref="CM46" si="271">CJ46*CL46/SQRT(CK46)</f>
        <v>2.0416549278466339E-2</v>
      </c>
      <c r="CN46" s="188">
        <f t="shared" ref="CN46" si="272">AVERAGE(CH46:CH48)</f>
        <v>0.21935509379363904</v>
      </c>
      <c r="CO46" s="188">
        <f t="shared" ref="CO46" si="273">SQRT(CM46^2+CN46^2)</f>
        <v>0.22030318349414796</v>
      </c>
      <c r="CP46" s="189">
        <f>AVERAGE(BR46:BR48)</f>
        <v>2.1424235069826523</v>
      </c>
      <c r="CR46" s="52">
        <f t="shared" si="193"/>
        <v>162.20721489542919</v>
      </c>
      <c r="CS46" s="187">
        <f t="shared" ref="CS46" si="274">AVERAGE(CR46:CR48)</f>
        <v>162.18566562185831</v>
      </c>
      <c r="CV46" s="188">
        <f>W46*CW46</f>
        <v>1.1723036255666135</v>
      </c>
      <c r="CW46" s="188">
        <f>1/AC46^2</f>
        <v>7.9702861729743422</v>
      </c>
      <c r="CX46" s="188">
        <f t="shared" ref="CX46" si="275">BC46*CY46</f>
        <v>-2.1369885057965736</v>
      </c>
      <c r="CY46" s="188">
        <f t="shared" ref="CY46" si="276">1/BI46^2</f>
        <v>11.228213512011708</v>
      </c>
      <c r="CZ46" s="188">
        <f t="shared" ref="CZ46" si="277">CI46*DA46</f>
        <v>2.6749435780019382</v>
      </c>
      <c r="DA46" s="188">
        <f t="shared" ref="DA46" si="278">1/CO46^2</f>
        <v>20.60432796489145</v>
      </c>
      <c r="DC46" s="198">
        <f>AVERAGE(AD46,BJ46,CP46)</f>
        <v>2.0023811095099378</v>
      </c>
      <c r="DD46" s="188">
        <f t="shared" ref="DD46" si="279">SUM(CV46,CX46,CZ46)/SUM(CW46,CY46,DA46)</f>
        <v>4.2968271320222184E-2</v>
      </c>
      <c r="DE46" s="188">
        <f t="shared" ref="DE46" si="280">SUM(CW46,CY46,DA46)</f>
        <v>39.8028276498775</v>
      </c>
      <c r="DF46" s="188">
        <f t="shared" ref="DF46" si="281">SQRT(DE46^-1)</f>
        <v>0.15850502572504832</v>
      </c>
      <c r="DH46" s="185">
        <f>W46-DD46</f>
        <v>0.10411598639961506</v>
      </c>
      <c r="DI46" s="185">
        <f>SQRT(AC46^2-DF46^2)</f>
        <v>0.31676831633318803</v>
      </c>
      <c r="DJ46" s="197">
        <f t="shared" ref="DJ46" si="282">ABS(DH46/DI46)</f>
        <v>0.32868181895471582</v>
      </c>
      <c r="DK46" s="185">
        <f t="shared" ref="DK46" si="283">BC46-DD46</f>
        <v>-0.23329138046937295</v>
      </c>
      <c r="DL46" s="185">
        <f t="shared" ref="DL46" si="284">SQRT(BI46^2-DF46^2)</f>
        <v>0.25285869546100459</v>
      </c>
      <c r="DM46" s="197">
        <f t="shared" ref="DM46" si="285">ABS(DK46/DL46)</f>
        <v>0.92261561360997657</v>
      </c>
      <c r="DN46" s="196">
        <f t="shared" ref="DN46" si="286">CI46-DD46</f>
        <v>8.6856083182379556E-2</v>
      </c>
      <c r="DO46" s="185">
        <f t="shared" ref="DO46" si="287">SQRT(CO46^2-DF46^2)</f>
        <v>0.15300212246095801</v>
      </c>
      <c r="DP46" s="197">
        <f t="shared" ref="DP46" si="288">ABS(DN46/DO46)</f>
        <v>0.5676789431763789</v>
      </c>
    </row>
    <row r="47" spans="2:120" x14ac:dyDescent="0.25">
      <c r="B47" s="13"/>
      <c r="C47" s="11" t="s">
        <v>45</v>
      </c>
      <c r="D47" s="50" t="s">
        <v>82</v>
      </c>
      <c r="E47" s="10">
        <v>10</v>
      </c>
      <c r="F47" s="48">
        <v>1.9549615578959301</v>
      </c>
      <c r="G47" s="48">
        <v>21.340032727546252</v>
      </c>
      <c r="H47" s="48">
        <v>19.969247294321001</v>
      </c>
      <c r="I47" s="48">
        <v>43.932271499541997</v>
      </c>
      <c r="J47" s="48">
        <v>1.95766304468736</v>
      </c>
      <c r="K47" s="48">
        <v>248.71507833499999</v>
      </c>
      <c r="L47" s="48">
        <f t="shared" si="194"/>
        <v>285.30551160903826</v>
      </c>
      <c r="M47" s="48">
        <v>93.52</v>
      </c>
      <c r="N47" s="48">
        <v>44.7</v>
      </c>
      <c r="O47" s="58">
        <f t="shared" si="195"/>
        <v>2.2350000000000002E-2</v>
      </c>
      <c r="P47" s="48">
        <v>1</v>
      </c>
      <c r="Q47" s="57">
        <f t="shared" si="196"/>
        <v>0.99860785478246772</v>
      </c>
      <c r="R47" s="57">
        <v>-7.7000000000000002E-3</v>
      </c>
      <c r="S47" s="57">
        <f t="shared" si="197"/>
        <v>1.0014861186814614</v>
      </c>
      <c r="T47" s="48">
        <f t="shared" si="198"/>
        <v>1.9578429628694762</v>
      </c>
      <c r="U47" s="49">
        <f t="shared" si="199"/>
        <v>0.1381861848136508</v>
      </c>
      <c r="V47" s="6">
        <v>0.35</v>
      </c>
      <c r="W47" s="190"/>
      <c r="X47" s="188"/>
      <c r="Y47" s="188"/>
      <c r="Z47" s="185"/>
      <c r="AA47" s="185"/>
      <c r="AB47" s="188"/>
      <c r="AC47" s="188"/>
      <c r="AD47" s="189"/>
      <c r="AF47" s="52">
        <f t="shared" si="200"/>
        <v>160.41936190228563</v>
      </c>
      <c r="AG47" s="187"/>
      <c r="AI47" s="11" t="s">
        <v>45</v>
      </c>
      <c r="AJ47" s="179">
        <v>45800</v>
      </c>
      <c r="AK47" s="10"/>
      <c r="AL47" s="181">
        <v>1.9089191640433611</v>
      </c>
      <c r="AM47" s="180">
        <v>21</v>
      </c>
      <c r="AN47" s="180">
        <v>21.1</v>
      </c>
      <c r="AO47" s="48">
        <v>42.874913371300003</v>
      </c>
      <c r="AP47" s="182">
        <v>1.9057976074218752</v>
      </c>
      <c r="AQ47" s="48">
        <v>249.75455518000001</v>
      </c>
      <c r="AR47" s="48">
        <f t="shared" si="246"/>
        <v>284.88133080737532</v>
      </c>
      <c r="AS47" s="48">
        <v>93.52</v>
      </c>
      <c r="AT47" s="48">
        <v>44.7</v>
      </c>
      <c r="AU47" s="58">
        <f t="shared" si="216"/>
        <v>2.2350000000000002E-2</v>
      </c>
      <c r="AV47" s="48">
        <v>1</v>
      </c>
      <c r="AW47" s="57">
        <f t="shared" si="247"/>
        <v>0.99861940290092432</v>
      </c>
      <c r="AX47" s="57">
        <v>-7.7000000000000002E-3</v>
      </c>
      <c r="AY47" s="57">
        <f t="shared" si="248"/>
        <v>1.0014598589715178</v>
      </c>
      <c r="AZ47" s="48">
        <f t="shared" si="249"/>
        <v>1.9059448234173741</v>
      </c>
      <c r="BA47" s="49">
        <f t="shared" si="250"/>
        <v>-0.15581281187868268</v>
      </c>
      <c r="BB47" s="6">
        <v>0.27</v>
      </c>
      <c r="BC47" s="190"/>
      <c r="BD47" s="188"/>
      <c r="BE47" s="188"/>
      <c r="BF47" s="185"/>
      <c r="BG47" s="185"/>
      <c r="BH47" s="188"/>
      <c r="BI47" s="188"/>
      <c r="BJ47" s="189"/>
      <c r="BL47" s="52">
        <f t="shared" si="222"/>
        <v>160.02064720931526</v>
      </c>
      <c r="BM47" s="187"/>
      <c r="BN47" s="19"/>
      <c r="BO47" s="11" t="s">
        <v>45</v>
      </c>
      <c r="BP47" s="50">
        <v>45671.402268518519</v>
      </c>
      <c r="BQ47" s="10">
        <v>14.2</v>
      </c>
      <c r="BR47" s="48">
        <v>2.1425028053805311</v>
      </c>
      <c r="BS47" s="48">
        <v>23.02742392825143</v>
      </c>
      <c r="BT47" s="48">
        <v>21.127052020066888</v>
      </c>
      <c r="BU47" s="48">
        <v>47.613104416012881</v>
      </c>
      <c r="BV47" s="48">
        <v>2.1450313177589653</v>
      </c>
      <c r="BW47" s="48">
        <v>247.83458351900001</v>
      </c>
      <c r="BX47" s="48">
        <f t="shared" si="201"/>
        <v>286.83912028439403</v>
      </c>
      <c r="BY47" s="48">
        <v>93.52</v>
      </c>
      <c r="BZ47" s="48">
        <v>44.7</v>
      </c>
      <c r="CA47" s="58">
        <f t="shared" si="202"/>
        <v>2.2350000000000002E-2</v>
      </c>
      <c r="CB47" s="48">
        <v>1</v>
      </c>
      <c r="CC47" s="57">
        <f t="shared" si="203"/>
        <v>0.99859795921076611</v>
      </c>
      <c r="CD47" s="57">
        <v>-7.7000000000000002E-3</v>
      </c>
      <c r="CE47" s="57">
        <f t="shared" si="204"/>
        <v>1.0016164512302224</v>
      </c>
      <c r="CF47" s="48">
        <f t="shared" si="206"/>
        <v>2.1454863735197152</v>
      </c>
      <c r="CG47" s="49">
        <f t="shared" si="205"/>
        <v>0.13925620688530149</v>
      </c>
      <c r="CH47" s="55">
        <v>0.2187794854130968</v>
      </c>
      <c r="CI47" s="190"/>
      <c r="CJ47" s="188"/>
      <c r="CK47" s="188"/>
      <c r="CL47" s="185"/>
      <c r="CM47" s="185"/>
      <c r="CN47" s="188"/>
      <c r="CO47" s="188"/>
      <c r="CP47" s="189"/>
      <c r="CR47" s="52">
        <f t="shared" si="193"/>
        <v>162.18460943990098</v>
      </c>
      <c r="CS47" s="187"/>
      <c r="CV47" s="188"/>
      <c r="CW47" s="188"/>
      <c r="CX47" s="188"/>
      <c r="CY47" s="188"/>
      <c r="CZ47" s="188"/>
      <c r="DA47" s="188"/>
      <c r="DC47" s="198"/>
      <c r="DD47" s="188"/>
      <c r="DE47" s="188"/>
      <c r="DF47" s="188"/>
      <c r="DH47" s="185"/>
      <c r="DI47" s="185"/>
      <c r="DJ47" s="197"/>
      <c r="DK47" s="185"/>
      <c r="DL47" s="185"/>
      <c r="DM47" s="197"/>
      <c r="DN47" s="196"/>
      <c r="DO47" s="185"/>
      <c r="DP47" s="197"/>
    </row>
    <row r="48" spans="2:120" x14ac:dyDescent="0.25">
      <c r="B48" s="13"/>
      <c r="C48" s="11" t="s">
        <v>45</v>
      </c>
      <c r="D48" s="50" t="s">
        <v>83</v>
      </c>
      <c r="E48" s="10">
        <v>11</v>
      </c>
      <c r="F48" s="48">
        <v>1.9536449351370999</v>
      </c>
      <c r="G48" s="48">
        <v>21.335993160890233</v>
      </c>
      <c r="H48" s="48">
        <v>19.984785034858</v>
      </c>
      <c r="I48" s="48">
        <v>43.9191160750417</v>
      </c>
      <c r="J48" s="48">
        <v>1.9570063356783201</v>
      </c>
      <c r="K48" s="48">
        <v>248.72145590100001</v>
      </c>
      <c r="L48" s="48">
        <f t="shared" si="194"/>
        <v>285.31307328284367</v>
      </c>
      <c r="M48" s="48">
        <v>93.52</v>
      </c>
      <c r="N48" s="48">
        <v>44.7</v>
      </c>
      <c r="O48" s="58">
        <f t="shared" si="195"/>
        <v>2.2350000000000002E-2</v>
      </c>
      <c r="P48" s="48">
        <v>1</v>
      </c>
      <c r="Q48" s="57">
        <f t="shared" si="196"/>
        <v>0.99860792607527016</v>
      </c>
      <c r="R48" s="57">
        <v>-7.7000000000000002E-3</v>
      </c>
      <c r="S48" s="57">
        <f t="shared" si="197"/>
        <v>1.0014858067097345</v>
      </c>
      <c r="T48" s="48">
        <f t="shared" si="198"/>
        <v>1.9571857235529444</v>
      </c>
      <c r="U48" s="49">
        <f t="shared" si="199"/>
        <v>0.17205790472792579</v>
      </c>
      <c r="V48" s="6">
        <v>0.35</v>
      </c>
      <c r="W48" s="190"/>
      <c r="X48" s="188"/>
      <c r="Y48" s="188"/>
      <c r="Z48" s="185"/>
      <c r="AA48" s="185"/>
      <c r="AB48" s="188"/>
      <c r="AC48" s="188"/>
      <c r="AD48" s="189"/>
      <c r="AF48" s="52">
        <f t="shared" si="200"/>
        <v>160.41358383452535</v>
      </c>
      <c r="AG48" s="187"/>
      <c r="AI48" s="11" t="s">
        <v>45</v>
      </c>
      <c r="AJ48" s="178">
        <v>45800</v>
      </c>
      <c r="AK48" s="10"/>
      <c r="AL48" s="170">
        <v>1.9092132777900721</v>
      </c>
      <c r="AM48" s="171">
        <v>21.02</v>
      </c>
      <c r="AN48" s="171">
        <v>21.15</v>
      </c>
      <c r="AO48" s="48">
        <v>42.910813278299997</v>
      </c>
      <c r="AP48" s="171">
        <v>1.905892862955729</v>
      </c>
      <c r="AQ48" s="48">
        <v>249.76703436</v>
      </c>
      <c r="AR48" s="48">
        <f t="shared" si="246"/>
        <v>284.90553380056349</v>
      </c>
      <c r="AS48" s="48">
        <v>93.52</v>
      </c>
      <c r="AT48" s="48">
        <v>44.7</v>
      </c>
      <c r="AU48" s="58">
        <f t="shared" si="216"/>
        <v>2.2350000000000002E-2</v>
      </c>
      <c r="AV48" s="48">
        <v>1</v>
      </c>
      <c r="AW48" s="57">
        <f t="shared" si="247"/>
        <v>0.99861954066535286</v>
      </c>
      <c r="AX48" s="57">
        <v>-7.7000000000000002E-3</v>
      </c>
      <c r="AY48" s="57">
        <f t="shared" si="248"/>
        <v>1.0014614034735474</v>
      </c>
      <c r="AZ48" s="48">
        <f t="shared" si="249"/>
        <v>1.9060432888487211</v>
      </c>
      <c r="BA48" s="49">
        <f t="shared" si="250"/>
        <v>-0.16603639720232274</v>
      </c>
      <c r="BB48" s="6">
        <v>0.27</v>
      </c>
      <c r="BC48" s="190"/>
      <c r="BD48" s="188"/>
      <c r="BE48" s="188"/>
      <c r="BF48" s="185"/>
      <c r="BG48" s="185"/>
      <c r="BH48" s="188"/>
      <c r="BI48" s="188"/>
      <c r="BJ48" s="189"/>
      <c r="BL48" s="52">
        <f t="shared" si="222"/>
        <v>159.8947627056591</v>
      </c>
      <c r="BM48" s="187"/>
      <c r="BN48" s="19"/>
      <c r="BO48" s="11" t="s">
        <v>45</v>
      </c>
      <c r="BP48" s="50">
        <v>45671.403726851851</v>
      </c>
      <c r="BQ48" s="10">
        <v>14.3</v>
      </c>
      <c r="BR48" s="48">
        <v>2.1421670848912746</v>
      </c>
      <c r="BS48" s="48">
        <v>23.022975827317712</v>
      </c>
      <c r="BT48" s="48">
        <v>21.120135086048453</v>
      </c>
      <c r="BU48" s="48">
        <v>47.604204995630369</v>
      </c>
      <c r="BV48" s="48">
        <v>2.14437336563376</v>
      </c>
      <c r="BW48" s="48">
        <v>247.83767114899999</v>
      </c>
      <c r="BX48" s="48">
        <f t="shared" si="201"/>
        <v>286.83574921126052</v>
      </c>
      <c r="BY48" s="48">
        <v>93.52</v>
      </c>
      <c r="BZ48" s="48">
        <v>44.7</v>
      </c>
      <c r="CA48" s="58">
        <f t="shared" si="202"/>
        <v>2.2350000000000002E-2</v>
      </c>
      <c r="CB48" s="48">
        <v>1</v>
      </c>
      <c r="CC48" s="57">
        <f t="shared" si="203"/>
        <v>0.99859799409559213</v>
      </c>
      <c r="CD48" s="57">
        <v>-7.7000000000000002E-3</v>
      </c>
      <c r="CE48" s="57">
        <f t="shared" si="204"/>
        <v>1.001616107618392</v>
      </c>
      <c r="CF48" s="48">
        <f t="shared" si="206"/>
        <v>2.14482762094184</v>
      </c>
      <c r="CG48" s="49">
        <f t="shared" si="205"/>
        <v>0.1241983442528906</v>
      </c>
      <c r="CH48" s="55">
        <v>0.21858797983015371</v>
      </c>
      <c r="CI48" s="190"/>
      <c r="CJ48" s="188"/>
      <c r="CK48" s="188"/>
      <c r="CL48" s="185"/>
      <c r="CM48" s="185"/>
      <c r="CN48" s="188"/>
      <c r="CO48" s="188"/>
      <c r="CP48" s="189"/>
      <c r="CR48" s="52">
        <f t="shared" si="193"/>
        <v>162.16517253024472</v>
      </c>
      <c r="CS48" s="187"/>
      <c r="CV48" s="188"/>
      <c r="CW48" s="188"/>
      <c r="CX48" s="188"/>
      <c r="CY48" s="188"/>
      <c r="CZ48" s="188"/>
      <c r="DA48" s="188"/>
      <c r="DC48" s="198"/>
      <c r="DD48" s="188"/>
      <c r="DE48" s="188"/>
      <c r="DF48" s="188"/>
      <c r="DH48" s="185"/>
      <c r="DI48" s="185"/>
      <c r="DJ48" s="197"/>
      <c r="DK48" s="185"/>
      <c r="DL48" s="185"/>
      <c r="DM48" s="197"/>
      <c r="DN48" s="196"/>
      <c r="DO48" s="185"/>
      <c r="DP48" s="197"/>
    </row>
    <row r="49" spans="2:120" x14ac:dyDescent="0.25">
      <c r="B49" s="13"/>
      <c r="C49" s="11" t="s">
        <v>45</v>
      </c>
      <c r="D49" s="50" t="s">
        <v>84</v>
      </c>
      <c r="E49" s="10">
        <v>12</v>
      </c>
      <c r="F49" s="48">
        <v>0.97692153319242203</v>
      </c>
      <c r="G49" s="48">
        <v>21.355353520847753</v>
      </c>
      <c r="H49" s="48">
        <v>19.994019523860999</v>
      </c>
      <c r="I49" s="48">
        <v>43.963047856797097</v>
      </c>
      <c r="J49" s="48">
        <v>0.97665821743298997</v>
      </c>
      <c r="K49" s="48">
        <v>248.708538651</v>
      </c>
      <c r="L49" s="48">
        <f t="shared" si="194"/>
        <v>285.31756729007583</v>
      </c>
      <c r="M49" s="48">
        <v>93.52</v>
      </c>
      <c r="N49" s="48">
        <v>44.7</v>
      </c>
      <c r="O49" s="58">
        <f t="shared" si="195"/>
        <v>2.2350000000000002E-2</v>
      </c>
      <c r="P49" s="48">
        <v>1</v>
      </c>
      <c r="Q49" s="57">
        <f t="shared" si="196"/>
        <v>0.99860778167171449</v>
      </c>
      <c r="R49" s="57">
        <v>-7.7000000000000002E-3</v>
      </c>
      <c r="S49" s="57">
        <f t="shared" si="197"/>
        <v>1.0014873018929005</v>
      </c>
      <c r="T49" s="48">
        <f t="shared" si="198"/>
        <v>0.97674905926139666</v>
      </c>
      <c r="U49" s="49">
        <f t="shared" si="199"/>
        <v>-2.6953624266176788E-2</v>
      </c>
      <c r="V49" s="6">
        <v>0.35</v>
      </c>
      <c r="W49" s="190">
        <f t="shared" ref="W49" si="289">AVERAGE(U49:U51)</f>
        <v>-5.4834697402907306E-2</v>
      </c>
      <c r="X49" s="188">
        <f t="shared" ref="X49" si="290">STDEV(U49:U51)</f>
        <v>2.4597153030238232E-2</v>
      </c>
      <c r="Y49" s="188">
        <f t="shared" ref="Y49" si="291">COUNT(V49:V51)</f>
        <v>3</v>
      </c>
      <c r="Z49" s="185">
        <f t="shared" ref="Z49" si="292">TINV(0.05,Y49-1)</f>
        <v>4.3026527297494637</v>
      </c>
      <c r="AA49" s="185">
        <f t="shared" ref="AA49" si="293">X49*Z49/SQRT(Y49)</f>
        <v>6.1102715444108724E-2</v>
      </c>
      <c r="AB49" s="188">
        <f t="shared" ref="AB49" si="294">AVERAGE(V49:V51)</f>
        <v>0.34999999999999992</v>
      </c>
      <c r="AC49" s="188">
        <f t="shared" ref="AC49" si="295">SQRT(AA49^2+AB49^2)</f>
        <v>0.35529359948448785</v>
      </c>
      <c r="AD49" s="189">
        <f t="shared" ref="AD49" si="296">AVERAGE(F49:F51)</f>
        <v>0.97681481879033238</v>
      </c>
      <c r="AF49" s="52">
        <f t="shared" si="200"/>
        <v>79.975564801864891</v>
      </c>
      <c r="AG49" s="187">
        <f t="shared" ref="AG49" si="297">AVERAGE(AF49:AF51)</f>
        <v>79.964627138810044</v>
      </c>
      <c r="AI49" s="11" t="s">
        <v>45</v>
      </c>
      <c r="AJ49" s="177">
        <v>45800</v>
      </c>
      <c r="AK49" s="10"/>
      <c r="AL49" s="170">
        <v>0.9566114562311856</v>
      </c>
      <c r="AM49" s="171">
        <v>21.04</v>
      </c>
      <c r="AN49" s="171">
        <v>21.42</v>
      </c>
      <c r="AO49" s="48">
        <v>42.8982321955</v>
      </c>
      <c r="AP49" s="175">
        <v>0.95317645263671869</v>
      </c>
      <c r="AQ49" s="48">
        <v>249.91747825900001</v>
      </c>
      <c r="AR49" s="48">
        <f t="shared" si="246"/>
        <v>285.03619445122973</v>
      </c>
      <c r="AS49" s="48">
        <v>93.52</v>
      </c>
      <c r="AT49" s="48">
        <v>44.7</v>
      </c>
      <c r="AU49" s="58">
        <f t="shared" ref="AU49:AU54" si="298">AT49/2/1000</f>
        <v>2.2350000000000002E-2</v>
      </c>
      <c r="AV49" s="48">
        <v>1</v>
      </c>
      <c r="AW49" s="57">
        <f>1/(1+AV49*0.5*(2*PI()*AS49/AQ49*AU49)^2)</f>
        <v>0.99862119987631548</v>
      </c>
      <c r="AX49" s="57">
        <v>-7.7000000000000002E-3</v>
      </c>
      <c r="AY49" s="57">
        <f t="shared" ref="AY49:AY54" si="299">1/(1+AX49/100*((AM49)-2.06843))</f>
        <v>1.0014629479803412</v>
      </c>
      <c r="AZ49" s="48">
        <f t="shared" ref="AZ49:AZ54" si="300">AP49*AY49*AW49</f>
        <v>0.95325473772774683</v>
      </c>
      <c r="BA49" s="49">
        <f t="shared" ref="BA49:BA54" si="301">(AZ49-AL49)/AL49*100</f>
        <v>-0.35089674930963283</v>
      </c>
      <c r="BB49" s="6">
        <v>0.27</v>
      </c>
      <c r="BC49" s="190">
        <f t="shared" ref="BC49" si="302">AVERAGE(BA49:BA51)</f>
        <v>-0.32619508281422188</v>
      </c>
      <c r="BD49" s="188">
        <f t="shared" ref="BD49" si="303">STDEV(BA49:BA51)</f>
        <v>2.7553394066545313E-2</v>
      </c>
      <c r="BE49" s="188">
        <f t="shared" ref="BE49" si="304">COUNT(BB49:BB51)</f>
        <v>3</v>
      </c>
      <c r="BF49" s="185">
        <f t="shared" ref="BF49" si="305">TINV(0.05,BE49-1)</f>
        <v>4.3026527297494637</v>
      </c>
      <c r="BG49" s="185">
        <f t="shared" ref="BG49" si="306">BD49*BF49/SQRT(BE49)</f>
        <v>6.8446425287423021E-2</v>
      </c>
      <c r="BH49" s="188">
        <f t="shared" ref="BH49" si="307">AVERAGE(BB49:BB51)</f>
        <v>0.27</v>
      </c>
      <c r="BI49" s="188">
        <f t="shared" ref="BI49" si="308">SQRT(BG49^2+BH49^2)</f>
        <v>0.27854068488216721</v>
      </c>
      <c r="BJ49" s="189">
        <f t="shared" ref="BJ49" si="309">AVERAGE(AL49:AL51)</f>
        <v>0.95640703643258929</v>
      </c>
      <c r="BL49" s="52">
        <f t="shared" si="222"/>
        <v>79.99013138476468</v>
      </c>
      <c r="BM49" s="187">
        <f t="shared" ref="BM49:BM55" si="310">AVERAGE(BL49:BL51)</f>
        <v>79.981936589896989</v>
      </c>
      <c r="BN49" s="19"/>
      <c r="BO49" s="11" t="s">
        <v>45</v>
      </c>
      <c r="BP49" s="50">
        <v>45671.413877314815</v>
      </c>
      <c r="BQ49" s="10">
        <v>15.1</v>
      </c>
      <c r="BR49" s="48">
        <v>1.1444161361166705</v>
      </c>
      <c r="BS49" s="48">
        <v>23.294721053541394</v>
      </c>
      <c r="BT49" s="48">
        <v>21.245896311872912</v>
      </c>
      <c r="BU49" s="48">
        <v>48.234934528495778</v>
      </c>
      <c r="BV49" s="48">
        <v>1.1458822555608974</v>
      </c>
      <c r="BW49" s="48">
        <v>247.66239437799999</v>
      </c>
      <c r="BX49" s="48">
        <f t="shared" si="201"/>
        <v>286.89703467294146</v>
      </c>
      <c r="BY49" s="48">
        <v>93.52</v>
      </c>
      <c r="BZ49" s="48">
        <v>44.7</v>
      </c>
      <c r="CA49" s="58">
        <f t="shared" si="202"/>
        <v>2.2350000000000002E-2</v>
      </c>
      <c r="CB49" s="48">
        <v>1</v>
      </c>
      <c r="CC49" s="57">
        <f t="shared" si="203"/>
        <v>0.99859601171236123</v>
      </c>
      <c r="CD49" s="57">
        <v>-7.7000000000000002E-3</v>
      </c>
      <c r="CE49" s="57">
        <f t="shared" si="204"/>
        <v>1.0016371001275346</v>
      </c>
      <c r="CF49" s="48">
        <f t="shared" si="206"/>
        <v>1.1461467405064893</v>
      </c>
      <c r="CG49" s="49">
        <f t="shared" si="205"/>
        <v>0.15122159983616637</v>
      </c>
      <c r="CH49" s="55">
        <v>0.22295362245273048</v>
      </c>
      <c r="CI49" s="190">
        <f t="shared" ref="CI49" si="311">AVERAGE(CG49:CG51)</f>
        <v>0.13624897782207901</v>
      </c>
      <c r="CJ49" s="188">
        <f t="shared" ref="CJ49" si="312">STDEV(CG49:CG51)</f>
        <v>1.7428020313574148E-2</v>
      </c>
      <c r="CK49" s="188">
        <f t="shared" ref="CK49" si="313">COUNT(CH49:CH51)</f>
        <v>3</v>
      </c>
      <c r="CL49" s="185">
        <f t="shared" ref="CL49" si="314">TINV(0.05,CK49-1)</f>
        <v>4.3026527297494637</v>
      </c>
      <c r="CM49" s="185">
        <f t="shared" ref="CM49" si="315">CJ49*CL49/SQRT(CK49)</f>
        <v>4.3293602502100376E-2</v>
      </c>
      <c r="CN49" s="188">
        <f t="shared" ref="CN49" si="316">AVERAGE(CH49:CH51)</f>
        <v>0.22204462385297966</v>
      </c>
      <c r="CO49" s="188">
        <f t="shared" ref="CO49" si="317">SQRT(CM49^2+CN49^2)</f>
        <v>0.22622588490184117</v>
      </c>
      <c r="CP49" s="189">
        <f>AVERAGE(BR49:BR51)</f>
        <v>1.1446477990148758</v>
      </c>
      <c r="CR49" s="52">
        <f t="shared" si="193"/>
        <v>85.522581513657869</v>
      </c>
      <c r="CS49" s="187">
        <f t="shared" ref="CS49" si="318">AVERAGE(CR49:CR51)</f>
        <v>85.510282416444241</v>
      </c>
      <c r="CV49" s="188">
        <f>W49*CW49</f>
        <v>-0.43439086478882599</v>
      </c>
      <c r="CW49" s="188">
        <f>1/AC49^2</f>
        <v>7.9218247817994678</v>
      </c>
      <c r="CX49" s="188">
        <f t="shared" ref="CX49" si="319">BC49*CY49</f>
        <v>-4.2043622868817563</v>
      </c>
      <c r="CY49" s="188">
        <f t="shared" ref="CY49" si="320">1/BI49^2</f>
        <v>12.889103816676078</v>
      </c>
      <c r="CZ49" s="188">
        <f t="shared" ref="CZ49" si="321">CI49*DA49</f>
        <v>2.6622489316405309</v>
      </c>
      <c r="DA49" s="188">
        <f t="shared" ref="DA49" si="322">1/CO49^2</f>
        <v>19.539588290468011</v>
      </c>
      <c r="DC49" s="198">
        <f>AVERAGE(AD49,BJ49,CP49)</f>
        <v>1.0259565514125992</v>
      </c>
      <c r="DD49" s="188">
        <f t="shared" ref="DD49" si="323">SUM(CV49,CX49,CZ49)/SUM(CW49,CY49,DA49)</f>
        <v>-4.8983368056225149E-2</v>
      </c>
      <c r="DE49" s="188">
        <f t="shared" ref="DE49" si="324">SUM(CW49,CY49,DA49)</f>
        <v>40.350516888943559</v>
      </c>
      <c r="DF49" s="188">
        <f t="shared" ref="DF49" si="325">SQRT(DE49^-1)</f>
        <v>0.15742563319971695</v>
      </c>
      <c r="DH49" s="185">
        <f>W49-DD49</f>
        <v>-5.8513293466821575E-3</v>
      </c>
      <c r="DI49" s="185">
        <f>SQRT(AC49^2-DF49^2)</f>
        <v>0.31851328362614933</v>
      </c>
      <c r="DJ49" s="197">
        <f t="shared" ref="DJ49" si="326">ABS(DH49/DI49)</f>
        <v>1.8370754525736128E-2</v>
      </c>
      <c r="DK49" s="185">
        <f t="shared" ref="DK49" si="327">BC49-DD49</f>
        <v>-0.27721171475799672</v>
      </c>
      <c r="DL49" s="185">
        <f t="shared" ref="DL49" si="328">SQRT(BI49^2-DF49^2)</f>
        <v>0.22978703868211312</v>
      </c>
      <c r="DM49" s="197">
        <f t="shared" ref="DM49" si="329">ABS(DK49/DL49)</f>
        <v>1.2063853398689333</v>
      </c>
      <c r="DN49" s="196">
        <f t="shared" ref="DN49" si="330">CI49-DD49</f>
        <v>0.18523234587830417</v>
      </c>
      <c r="DO49" s="185">
        <f t="shared" ref="DO49" si="331">SQRT(CO49^2-DF49^2)</f>
        <v>0.16246636886226415</v>
      </c>
      <c r="DP49" s="197">
        <f t="shared" ref="DP49" si="332">ABS(DN49/DO49)</f>
        <v>1.140127320967828</v>
      </c>
    </row>
    <row r="50" spans="2:120" x14ac:dyDescent="0.25">
      <c r="B50" s="13"/>
      <c r="C50" s="11" t="s">
        <v>45</v>
      </c>
      <c r="D50" s="50" t="s">
        <v>85</v>
      </c>
      <c r="E50" s="10">
        <v>13</v>
      </c>
      <c r="F50" s="48">
        <v>0.97684643102216295</v>
      </c>
      <c r="G50" s="48">
        <v>21.351625696417319</v>
      </c>
      <c r="H50" s="48">
        <v>20.005346271021001</v>
      </c>
      <c r="I50" s="48">
        <v>43.951646192295001</v>
      </c>
      <c r="J50" s="48">
        <v>0.97622042519611196</v>
      </c>
      <c r="K50" s="48">
        <v>248.730941976</v>
      </c>
      <c r="L50" s="48">
        <f t="shared" si="194"/>
        <v>285.32307940786245</v>
      </c>
      <c r="M50" s="48">
        <v>93.52</v>
      </c>
      <c r="N50" s="48">
        <v>44.7</v>
      </c>
      <c r="O50" s="58">
        <f t="shared" si="195"/>
        <v>2.2350000000000002E-2</v>
      </c>
      <c r="P50" s="48">
        <v>1</v>
      </c>
      <c r="Q50" s="57">
        <f t="shared" si="196"/>
        <v>0.99860803210699023</v>
      </c>
      <c r="R50" s="57">
        <v>-7.7000000000000002E-3</v>
      </c>
      <c r="S50" s="57">
        <f t="shared" si="197"/>
        <v>1.0014870139960295</v>
      </c>
      <c r="T50" s="48">
        <f t="shared" si="198"/>
        <v>0.97631119048824111</v>
      </c>
      <c r="U50" s="49">
        <f t="shared" si="199"/>
        <v>-6.4084364355607437E-2</v>
      </c>
      <c r="V50" s="6">
        <v>0.35</v>
      </c>
      <c r="W50" s="190"/>
      <c r="X50" s="188"/>
      <c r="Y50" s="188"/>
      <c r="Z50" s="185"/>
      <c r="AA50" s="185"/>
      <c r="AB50" s="188"/>
      <c r="AC50" s="188"/>
      <c r="AD50" s="189"/>
      <c r="AF50" s="52">
        <f t="shared" si="200"/>
        <v>79.960452796921587</v>
      </c>
      <c r="AG50" s="187"/>
      <c r="AI50" s="11" t="s">
        <v>45</v>
      </c>
      <c r="AJ50" s="177">
        <v>45800</v>
      </c>
      <c r="AK50" s="10"/>
      <c r="AL50" s="170">
        <v>0.95631048283948639</v>
      </c>
      <c r="AM50" s="171">
        <v>21.04</v>
      </c>
      <c r="AN50" s="171">
        <v>21.4</v>
      </c>
      <c r="AO50" s="48">
        <v>42.902632250099998</v>
      </c>
      <c r="AP50" s="175">
        <v>0.95339705403645847</v>
      </c>
      <c r="AQ50" s="48">
        <v>249.904946427</v>
      </c>
      <c r="AR50" s="48">
        <f t="shared" si="246"/>
        <v>285.02651793859133</v>
      </c>
      <c r="AS50" s="48">
        <v>93.52</v>
      </c>
      <c r="AT50" s="48">
        <v>44.7</v>
      </c>
      <c r="AU50" s="58">
        <f t="shared" si="298"/>
        <v>2.2350000000000002E-2</v>
      </c>
      <c r="AV50" s="48">
        <v>1</v>
      </c>
      <c r="AW50" s="57">
        <f t="shared" ref="AW50:AW54" si="333">1/(1+AV50*0.5*(2*PI()*AS50/AQ50*AU50)^2)</f>
        <v>0.99862106177982823</v>
      </c>
      <c r="AX50" s="57">
        <v>-7.7000000000000002E-3</v>
      </c>
      <c r="AY50" s="57">
        <f t="shared" si="299"/>
        <v>1.0014629479803412</v>
      </c>
      <c r="AZ50" s="48">
        <f t="shared" si="300"/>
        <v>0.95347522539224661</v>
      </c>
      <c r="BA50" s="49">
        <f t="shared" si="301"/>
        <v>-0.29647875853261663</v>
      </c>
      <c r="BB50" s="6">
        <v>0.27</v>
      </c>
      <c r="BC50" s="190"/>
      <c r="BD50" s="188"/>
      <c r="BE50" s="188"/>
      <c r="BF50" s="185"/>
      <c r="BG50" s="185"/>
      <c r="BH50" s="188"/>
      <c r="BI50" s="188"/>
      <c r="BJ50" s="189"/>
      <c r="BK50" s="26"/>
      <c r="BL50" s="52">
        <f t="shared" si="222"/>
        <v>80.000438540067677</v>
      </c>
      <c r="BM50" s="187"/>
      <c r="BO50" s="11" t="s">
        <v>45</v>
      </c>
      <c r="BP50" s="50">
        <v>45671.415335648147</v>
      </c>
      <c r="BQ50" s="10">
        <v>15.2</v>
      </c>
      <c r="BR50" s="48">
        <v>1.1447591094161507</v>
      </c>
      <c r="BS50" s="48">
        <v>23.305691164169097</v>
      </c>
      <c r="BT50" s="48">
        <v>21.284350251461987</v>
      </c>
      <c r="BU50" s="48">
        <v>48.248908773429449</v>
      </c>
      <c r="BV50" s="48">
        <v>1.1458343770356447</v>
      </c>
      <c r="BW50" s="48">
        <v>247.66287591700001</v>
      </c>
      <c r="BX50" s="48">
        <f t="shared" si="201"/>
        <v>286.91577128092644</v>
      </c>
      <c r="BY50" s="48">
        <v>93.52</v>
      </c>
      <c r="BZ50" s="48">
        <v>44.7</v>
      </c>
      <c r="CA50" s="58">
        <f t="shared" si="202"/>
        <v>2.2350000000000002E-2</v>
      </c>
      <c r="CB50" s="48">
        <v>1</v>
      </c>
      <c r="CC50" s="57">
        <f t="shared" si="203"/>
        <v>0.998596017164331</v>
      </c>
      <c r="CD50" s="57">
        <v>-7.7000000000000002E-3</v>
      </c>
      <c r="CE50" s="57">
        <f t="shared" si="204"/>
        <v>1.0016379475947459</v>
      </c>
      <c r="CF50" s="48">
        <f t="shared" si="206"/>
        <v>1.1460998268812308</v>
      </c>
      <c r="CG50" s="49">
        <f t="shared" si="205"/>
        <v>0.11711786820931473</v>
      </c>
      <c r="CH50" s="55">
        <v>0.22146963492410732</v>
      </c>
      <c r="CI50" s="190"/>
      <c r="CJ50" s="188"/>
      <c r="CK50" s="188"/>
      <c r="CL50" s="185"/>
      <c r="CM50" s="185"/>
      <c r="CN50" s="188"/>
      <c r="CO50" s="188"/>
      <c r="CP50" s="189"/>
      <c r="CR50" s="52">
        <f t="shared" si="193"/>
        <v>85.494239397180934</v>
      </c>
      <c r="CS50" s="187"/>
      <c r="CV50" s="188"/>
      <c r="CW50" s="188"/>
      <c r="CX50" s="188"/>
      <c r="CY50" s="188"/>
      <c r="CZ50" s="188"/>
      <c r="DA50" s="188"/>
      <c r="DC50" s="198"/>
      <c r="DD50" s="188"/>
      <c r="DE50" s="188"/>
      <c r="DF50" s="188"/>
      <c r="DH50" s="185"/>
      <c r="DI50" s="185"/>
      <c r="DJ50" s="197"/>
      <c r="DK50" s="185"/>
      <c r="DL50" s="185"/>
      <c r="DM50" s="197"/>
      <c r="DN50" s="196"/>
      <c r="DO50" s="185"/>
      <c r="DP50" s="197"/>
    </row>
    <row r="51" spans="2:120" x14ac:dyDescent="0.25">
      <c r="B51" s="13"/>
      <c r="C51" s="11" t="s">
        <v>45</v>
      </c>
      <c r="D51" s="50" t="s">
        <v>86</v>
      </c>
      <c r="E51" s="10">
        <v>14</v>
      </c>
      <c r="F51" s="48">
        <v>0.97667649215641195</v>
      </c>
      <c r="G51" s="48">
        <v>21.348196857022451</v>
      </c>
      <c r="H51" s="48">
        <v>20.014579146395999</v>
      </c>
      <c r="I51" s="48">
        <v>43.9412974512136</v>
      </c>
      <c r="J51" s="48">
        <v>0.97595896599297505</v>
      </c>
      <c r="K51" s="48">
        <v>248.730941976</v>
      </c>
      <c r="L51" s="48">
        <f t="shared" si="194"/>
        <v>285.32757247224879</v>
      </c>
      <c r="M51" s="48">
        <v>93.52</v>
      </c>
      <c r="N51" s="48">
        <v>44.7</v>
      </c>
      <c r="O51" s="58">
        <f t="shared" si="195"/>
        <v>2.2350000000000002E-2</v>
      </c>
      <c r="P51" s="48">
        <v>1</v>
      </c>
      <c r="Q51" s="57">
        <f t="shared" si="196"/>
        <v>0.99860803210699023</v>
      </c>
      <c r="R51" s="57">
        <v>-7.7000000000000002E-3</v>
      </c>
      <c r="S51" s="57">
        <f t="shared" si="197"/>
        <v>1.0014867491896777</v>
      </c>
      <c r="T51" s="48">
        <f t="shared" si="198"/>
        <v>0.97604944889522105</v>
      </c>
      <c r="U51" s="49">
        <f t="shared" si="199"/>
        <v>-7.3466103586937698E-2</v>
      </c>
      <c r="V51" s="6">
        <v>0.35</v>
      </c>
      <c r="W51" s="190"/>
      <c r="X51" s="188"/>
      <c r="Y51" s="188"/>
      <c r="Z51" s="185"/>
      <c r="AA51" s="185"/>
      <c r="AB51" s="188"/>
      <c r="AC51" s="188"/>
      <c r="AD51" s="189"/>
      <c r="AF51" s="52">
        <f t="shared" si="200"/>
        <v>79.95786381764367</v>
      </c>
      <c r="AG51" s="187"/>
      <c r="AI51" s="11" t="s">
        <v>45</v>
      </c>
      <c r="AJ51" s="177">
        <v>45800</v>
      </c>
      <c r="AK51" s="10"/>
      <c r="AL51" s="170">
        <v>0.95629917022709576</v>
      </c>
      <c r="AM51" s="171">
        <v>21.04</v>
      </c>
      <c r="AN51" s="171">
        <v>21.36</v>
      </c>
      <c r="AO51" s="48">
        <v>42.911436094700001</v>
      </c>
      <c r="AP51" s="175">
        <v>0.95305393473307298</v>
      </c>
      <c r="AQ51" s="48">
        <v>249.87987721499999</v>
      </c>
      <c r="AR51" s="48">
        <f t="shared" si="246"/>
        <v>285.0071639277088</v>
      </c>
      <c r="AS51" s="48">
        <v>93.52</v>
      </c>
      <c r="AT51" s="48">
        <v>44.7</v>
      </c>
      <c r="AU51" s="58">
        <f t="shared" si="298"/>
        <v>2.2350000000000002E-2</v>
      </c>
      <c r="AV51" s="48">
        <v>1</v>
      </c>
      <c r="AW51" s="57">
        <f t="shared" si="333"/>
        <v>0.99862078546347399</v>
      </c>
      <c r="AX51" s="57">
        <v>-7.7000000000000002E-3</v>
      </c>
      <c r="AY51" s="57">
        <f t="shared" si="299"/>
        <v>1.0014629479803412</v>
      </c>
      <c r="AZ51" s="48">
        <f t="shared" si="300"/>
        <v>0.95313181422602267</v>
      </c>
      <c r="BA51" s="49">
        <f t="shared" si="301"/>
        <v>-0.33120974060041619</v>
      </c>
      <c r="BB51" s="6">
        <v>0.27</v>
      </c>
      <c r="BC51" s="190"/>
      <c r="BD51" s="188"/>
      <c r="BE51" s="188"/>
      <c r="BF51" s="185"/>
      <c r="BG51" s="185"/>
      <c r="BH51" s="188"/>
      <c r="BI51" s="188"/>
      <c r="BJ51" s="189"/>
      <c r="BK51" s="26"/>
      <c r="BL51" s="52">
        <f t="shared" si="222"/>
        <v>79.955239844858639</v>
      </c>
      <c r="BM51" s="187"/>
      <c r="BO51" s="11" t="s">
        <v>45</v>
      </c>
      <c r="BP51" s="50">
        <v>45671.416886574072</v>
      </c>
      <c r="BQ51" s="10">
        <v>15.3</v>
      </c>
      <c r="BR51" s="48">
        <v>1.1447681515118067</v>
      </c>
      <c r="BS51" s="48">
        <v>23.310699897115754</v>
      </c>
      <c r="BT51" s="48">
        <v>21.3251253625731</v>
      </c>
      <c r="BU51" s="48">
        <v>48.249310180396826</v>
      </c>
      <c r="BV51" s="48">
        <v>1.146109105994616</v>
      </c>
      <c r="BW51" s="48">
        <v>247.69589852799999</v>
      </c>
      <c r="BX51" s="48">
        <f t="shared" si="201"/>
        <v>286.93563753877493</v>
      </c>
      <c r="BY51" s="48">
        <v>93.52</v>
      </c>
      <c r="BZ51" s="48">
        <v>44.7</v>
      </c>
      <c r="CA51" s="58">
        <f t="shared" si="202"/>
        <v>2.2350000000000002E-2</v>
      </c>
      <c r="CB51" s="48">
        <v>1</v>
      </c>
      <c r="CC51" s="57">
        <f t="shared" si="203"/>
        <v>0.99859639096960839</v>
      </c>
      <c r="CD51" s="57">
        <v>-7.7000000000000002E-3</v>
      </c>
      <c r="CE51" s="57">
        <f t="shared" si="204"/>
        <v>1.0016383345317894</v>
      </c>
      <c r="CF51" s="48">
        <f t="shared" si="206"/>
        <v>1.1463754914582884</v>
      </c>
      <c r="CG51" s="49">
        <f t="shared" si="205"/>
        <v>0.14040746542075597</v>
      </c>
      <c r="CH51" s="55">
        <v>0.22171061418210122</v>
      </c>
      <c r="CI51" s="190"/>
      <c r="CJ51" s="188"/>
      <c r="CK51" s="188"/>
      <c r="CL51" s="185"/>
      <c r="CM51" s="185"/>
      <c r="CN51" s="188"/>
      <c r="CO51" s="188"/>
      <c r="CP51" s="189"/>
      <c r="CR51" s="52">
        <f t="shared" si="193"/>
        <v>85.514026338493935</v>
      </c>
      <c r="CS51" s="187"/>
      <c r="CV51" s="188"/>
      <c r="CW51" s="188"/>
      <c r="CX51" s="188"/>
      <c r="CY51" s="188"/>
      <c r="CZ51" s="188"/>
      <c r="DA51" s="188"/>
      <c r="DC51" s="198"/>
      <c r="DD51" s="188"/>
      <c r="DE51" s="188"/>
      <c r="DF51" s="188"/>
      <c r="DH51" s="185"/>
      <c r="DI51" s="185"/>
      <c r="DJ51" s="197"/>
      <c r="DK51" s="185"/>
      <c r="DL51" s="185"/>
      <c r="DM51" s="197"/>
      <c r="DN51" s="196"/>
      <c r="DO51" s="185"/>
      <c r="DP51" s="197"/>
    </row>
    <row r="52" spans="2:120" x14ac:dyDescent="0.25">
      <c r="B52" s="13"/>
      <c r="C52" s="11" t="s">
        <v>45</v>
      </c>
      <c r="D52" s="50" t="s">
        <v>87</v>
      </c>
      <c r="E52" s="10">
        <v>15</v>
      </c>
      <c r="F52" s="48">
        <v>0.49348242417691901</v>
      </c>
      <c r="G52" s="48">
        <v>21.352694957604466</v>
      </c>
      <c r="H52" s="48">
        <v>19.971019668170999</v>
      </c>
      <c r="I52" s="48">
        <v>43.962094786278797</v>
      </c>
      <c r="J52" s="48">
        <v>0.492927605699369</v>
      </c>
      <c r="K52" s="48">
        <v>248.705428762</v>
      </c>
      <c r="L52" s="48">
        <f t="shared" si="194"/>
        <v>285.30637417140542</v>
      </c>
      <c r="M52" s="48">
        <v>93.52</v>
      </c>
      <c r="N52" s="48">
        <v>44.7</v>
      </c>
      <c r="O52" s="58">
        <f t="shared" si="195"/>
        <v>2.2350000000000002E-2</v>
      </c>
      <c r="P52" s="48">
        <v>1</v>
      </c>
      <c r="Q52" s="57">
        <f t="shared" si="196"/>
        <v>0.99860774690252141</v>
      </c>
      <c r="R52" s="57">
        <v>-7.7000000000000002E-3</v>
      </c>
      <c r="S52" s="57">
        <f t="shared" si="197"/>
        <v>1.0014870965741909</v>
      </c>
      <c r="T52" s="48">
        <f t="shared" si="198"/>
        <v>0.4929733361026451</v>
      </c>
      <c r="U52" s="49">
        <f t="shared" si="199"/>
        <v>-0.11242922754045306</v>
      </c>
      <c r="V52" s="6">
        <v>0.35</v>
      </c>
      <c r="W52" s="190">
        <f t="shared" ref="W52" si="334">AVERAGE(U52:U54)</f>
        <v>-0.1506964290092192</v>
      </c>
      <c r="X52" s="188">
        <f t="shared" ref="X52" si="335">STDEV(U52:U54)</f>
        <v>3.3516016640314797E-2</v>
      </c>
      <c r="Y52" s="188">
        <f t="shared" ref="Y52" si="336">COUNT(V52:V54)</f>
        <v>3</v>
      </c>
      <c r="Z52" s="185">
        <f t="shared" ref="Z52" si="337">TINV(0.05,Y52-1)</f>
        <v>4.3026527297494637</v>
      </c>
      <c r="AA52" s="185">
        <f t="shared" ref="AA52" si="338">X52*Z52/SQRT(Y52)</f>
        <v>8.3258400883857622E-2</v>
      </c>
      <c r="AB52" s="188">
        <f t="shared" ref="AB52" si="339">AVERAGE(V52:V54)</f>
        <v>0.34999999999999992</v>
      </c>
      <c r="AC52" s="188">
        <f t="shared" ref="AC52" si="340">SQRT(AA52^2+AB52^2)</f>
        <v>0.35976653724010671</v>
      </c>
      <c r="AD52" s="189">
        <f t="shared" ref="AD52" si="341">AVERAGE(F52:F54)</f>
        <v>0.49354689282644532</v>
      </c>
      <c r="AF52" s="52">
        <f t="shared" si="200"/>
        <v>40.365214377172663</v>
      </c>
      <c r="AG52" s="187">
        <f t="shared" ref="AG52" si="342">AVERAGE(AF52:AF54)</f>
        <v>40.35880764951154</v>
      </c>
      <c r="AI52" s="11" t="s">
        <v>45</v>
      </c>
      <c r="AJ52" s="177">
        <v>45800</v>
      </c>
      <c r="AK52" s="10"/>
      <c r="AL52" s="170">
        <v>0.47809520848939668</v>
      </c>
      <c r="AM52" s="171">
        <v>20.81</v>
      </c>
      <c r="AN52" s="171">
        <v>21.45</v>
      </c>
      <c r="AO52" s="48">
        <v>42.354055021900002</v>
      </c>
      <c r="AP52" s="175">
        <v>0.47703240966796878</v>
      </c>
      <c r="AQ52" s="48">
        <v>250.15231926800001</v>
      </c>
      <c r="AR52" s="48">
        <f t="shared" si="246"/>
        <v>285.05070860427787</v>
      </c>
      <c r="AS52" s="48">
        <v>93.52</v>
      </c>
      <c r="AT52" s="48">
        <v>44.7</v>
      </c>
      <c r="AU52" s="58">
        <f t="shared" si="298"/>
        <v>2.2350000000000002E-2</v>
      </c>
      <c r="AV52" s="48">
        <v>1</v>
      </c>
      <c r="AW52" s="57">
        <f t="shared" si="333"/>
        <v>0.99862378391323625</v>
      </c>
      <c r="AX52" s="57">
        <v>-7.7000000000000002E-3</v>
      </c>
      <c r="AY52" s="57">
        <f t="shared" si="299"/>
        <v>1.0014451864398375</v>
      </c>
      <c r="AZ52" s="48">
        <f t="shared" si="300"/>
        <v>0.47706436199726154</v>
      </c>
      <c r="BA52" s="49">
        <f t="shared" si="301"/>
        <v>-0.21561531549170559</v>
      </c>
      <c r="BB52" s="6">
        <v>0.27</v>
      </c>
      <c r="BC52" s="190">
        <f t="shared" ref="BC52" si="343">AVERAGE(BA52:BA54)</f>
        <v>-0.28628625758407034</v>
      </c>
      <c r="BD52" s="188">
        <f t="shared" ref="BD52" si="344">STDEV(BA52:BA54)</f>
        <v>6.353272023537769E-2</v>
      </c>
      <c r="BE52" s="188">
        <f t="shared" ref="BE52" si="345">COUNT(BB52:BB54)</f>
        <v>3</v>
      </c>
      <c r="BF52" s="185">
        <f t="shared" ref="BF52" si="346">TINV(0.05,BE52-1)</f>
        <v>4.3026527297494637</v>
      </c>
      <c r="BG52" s="185">
        <f t="shared" ref="BG52" si="347">BD52*BF52/SQRT(BE52)</f>
        <v>0.1578240262667851</v>
      </c>
      <c r="BH52" s="188">
        <f t="shared" ref="BH52" si="348">AVERAGE(BB52:BB54)</f>
        <v>0.27</v>
      </c>
      <c r="BI52" s="188">
        <f t="shared" ref="BI52" si="349">SQRT(BG52^2+BH52^2)</f>
        <v>0.31274338245126609</v>
      </c>
      <c r="BJ52" s="189">
        <f t="shared" ref="BJ52" si="350">AVERAGE(AL52:AL54)</f>
        <v>0.47822025809487373</v>
      </c>
      <c r="BK52" s="26"/>
      <c r="BL52" s="52">
        <f t="shared" si="222"/>
        <v>40.546688479219164</v>
      </c>
      <c r="BM52" s="187">
        <f t="shared" si="310"/>
        <v>40.555060390670526</v>
      </c>
      <c r="BO52" s="11" t="s">
        <v>45</v>
      </c>
      <c r="BP52" s="50">
        <v>45671.430358796293</v>
      </c>
      <c r="BQ52" s="10">
        <v>17.100000000000001</v>
      </c>
      <c r="BR52" s="48">
        <v>0.46336969809244433</v>
      </c>
      <c r="BS52" s="48">
        <v>23.053432242518515</v>
      </c>
      <c r="BT52" s="48">
        <v>21.137564410192148</v>
      </c>
      <c r="BU52" s="48">
        <v>47.67450544917903</v>
      </c>
      <c r="BV52" s="48">
        <v>0.46317469292884988</v>
      </c>
      <c r="BW52" s="48">
        <v>247.82183897799999</v>
      </c>
      <c r="BX52" s="48">
        <f t="shared" si="201"/>
        <v>286.84424358195679</v>
      </c>
      <c r="BY52" s="48">
        <v>93.52</v>
      </c>
      <c r="BZ52" s="48">
        <v>44.7</v>
      </c>
      <c r="CA52" s="58">
        <f t="shared" si="202"/>
        <v>2.2350000000000002E-2</v>
      </c>
      <c r="CB52" s="48">
        <v>1</v>
      </c>
      <c r="CC52" s="57">
        <f t="shared" si="203"/>
        <v>0.99859781520594038</v>
      </c>
      <c r="CD52" s="57">
        <v>-7.7000000000000002E-3</v>
      </c>
      <c r="CE52" s="57">
        <f t="shared" si="204"/>
        <v>1.0016184603540241</v>
      </c>
      <c r="CF52" s="48">
        <f t="shared" si="206"/>
        <v>0.46327381517530908</v>
      </c>
      <c r="CG52" s="49">
        <f t="shared" si="205"/>
        <v>-2.0692530722222397E-2</v>
      </c>
      <c r="CH52" s="55">
        <v>0.23275566486764765</v>
      </c>
      <c r="CI52" s="190">
        <f t="shared" ref="CI52" si="351">AVERAGE(CG52:CG54)</f>
        <v>-4.0758486112558228E-3</v>
      </c>
      <c r="CJ52" s="188">
        <f t="shared" ref="CJ52" si="352">STDEV(CG52:CG54)</f>
        <v>1.4804318661524835E-2</v>
      </c>
      <c r="CK52" s="188">
        <f t="shared" ref="CK52" si="353">COUNT(CH52:CH54)</f>
        <v>3</v>
      </c>
      <c r="CL52" s="185">
        <f t="shared" ref="CL52" si="354">TINV(0.05,CK52-1)</f>
        <v>4.3026527297494637</v>
      </c>
      <c r="CM52" s="185">
        <f t="shared" ref="CM52" si="355">CJ52*CL52/SQRT(CK52)</f>
        <v>3.6775966283863031E-2</v>
      </c>
      <c r="CN52" s="188">
        <f t="shared" ref="CN52" si="356">AVERAGE(CH52:CH54)</f>
        <v>0.23493432193499489</v>
      </c>
      <c r="CO52" s="188">
        <f t="shared" ref="CO52" si="357">SQRT(CM52^2+CN52^2)</f>
        <v>0.2377953055027951</v>
      </c>
      <c r="CP52" s="189">
        <f>AVERAGE(BR52:BR54)</f>
        <v>0.46282949676037638</v>
      </c>
      <c r="CR52" s="52">
        <f t="shared" si="193"/>
        <v>34.975274076441906</v>
      </c>
      <c r="CS52" s="187">
        <f t="shared" ref="CS52" si="358">AVERAGE(CR52:CR54)</f>
        <v>34.978800454705549</v>
      </c>
      <c r="CV52" s="188">
        <f>W52*CW52</f>
        <v>-1.1642907012687604</v>
      </c>
      <c r="CW52" s="188">
        <f>1/AC52^2</f>
        <v>7.7260669607342338</v>
      </c>
      <c r="CX52" s="188">
        <f t="shared" ref="CX52" si="359">BC52*CY52</f>
        <v>-2.9270102514830056</v>
      </c>
      <c r="CY52" s="188">
        <f t="shared" ref="CY52" si="360">1/BI52^2</f>
        <v>10.224068302068131</v>
      </c>
      <c r="CZ52" s="188">
        <f t="shared" ref="CZ52" si="361">CI52*DA52</f>
        <v>-7.2079454532973E-2</v>
      </c>
      <c r="DA52" s="188">
        <f t="shared" ref="DA52" si="362">1/CO52^2</f>
        <v>17.684526931132599</v>
      </c>
      <c r="DC52" s="198">
        <f>AVERAGE(AD52,BJ52,CP52)</f>
        <v>0.47819888256056514</v>
      </c>
      <c r="DD52" s="188">
        <f t="shared" ref="DD52" si="363">SUM(CV52,CX52,CZ52)/SUM(CW52,CY52,DA52)</f>
        <v>-0.11683513048689283</v>
      </c>
      <c r="DE52" s="188">
        <f t="shared" ref="DE52" si="364">SUM(CW52,CY52,DA52)</f>
        <v>35.634662193934965</v>
      </c>
      <c r="DF52" s="188">
        <f t="shared" ref="DF52" si="365">SQRT(DE52^-1)</f>
        <v>0.16751884766952185</v>
      </c>
      <c r="DH52" s="185">
        <f>W52-DD52</f>
        <v>-3.3861298522326375E-2</v>
      </c>
      <c r="DI52" s="185">
        <f>SQRT(AC52^2-DF52^2)</f>
        <v>0.31838561053102354</v>
      </c>
      <c r="DJ52" s="197">
        <f t="shared" ref="DJ52" si="366">ABS(DH52/DI52)</f>
        <v>0.10635310580101397</v>
      </c>
      <c r="DK52" s="185">
        <f t="shared" ref="DK52" si="367">BC52-DD52</f>
        <v>-0.16945112709717752</v>
      </c>
      <c r="DL52" s="185">
        <f t="shared" ref="DL52" si="368">SQRT(BI52^2-DF52^2)</f>
        <v>0.26409441293320546</v>
      </c>
      <c r="DM52" s="197">
        <f t="shared" ref="DM52" si="369">ABS(DK52/DL52)</f>
        <v>0.64163086683713733</v>
      </c>
      <c r="DN52" s="196">
        <f t="shared" ref="DN52" si="370">CI52-DD52</f>
        <v>0.11275928187563701</v>
      </c>
      <c r="DO52" s="185">
        <f t="shared" ref="DO52" si="371">SQRT(CO52^2-DF52^2)</f>
        <v>0.16877216297317274</v>
      </c>
      <c r="DP52" s="197">
        <f t="shared" ref="DP52" si="372">ABS(DN52/DO52)</f>
        <v>0.66811540415916049</v>
      </c>
    </row>
    <row r="53" spans="2:120" x14ac:dyDescent="0.25">
      <c r="B53" s="13"/>
      <c r="C53" s="11" t="s">
        <v>45</v>
      </c>
      <c r="D53" s="50" t="s">
        <v>88</v>
      </c>
      <c r="E53" s="10">
        <v>16</v>
      </c>
      <c r="F53" s="48">
        <v>0.49348730047456202</v>
      </c>
      <c r="G53" s="48">
        <v>21.349087608500128</v>
      </c>
      <c r="H53" s="48">
        <v>19.952062719474998</v>
      </c>
      <c r="I53" s="48">
        <v>43.957825723130199</v>
      </c>
      <c r="J53" s="48">
        <v>0.49267390461668897</v>
      </c>
      <c r="K53" s="48">
        <v>248.692669204</v>
      </c>
      <c r="L53" s="48">
        <f t="shared" si="194"/>
        <v>285.29714824527935</v>
      </c>
      <c r="M53" s="48">
        <v>93.52</v>
      </c>
      <c r="N53" s="48">
        <v>44.7</v>
      </c>
      <c r="O53" s="58">
        <f t="shared" si="195"/>
        <v>2.2350000000000002E-2</v>
      </c>
      <c r="P53" s="48">
        <v>1</v>
      </c>
      <c r="Q53" s="57">
        <f t="shared" si="196"/>
        <v>0.99860760423443207</v>
      </c>
      <c r="R53" s="57">
        <v>-7.7000000000000002E-3</v>
      </c>
      <c r="S53" s="57">
        <f t="shared" si="197"/>
        <v>1.0014868179816436</v>
      </c>
      <c r="T53" s="48">
        <f t="shared" si="198"/>
        <v>0.4927194040258035</v>
      </c>
      <c r="U53" s="49">
        <f t="shared" si="199"/>
        <v>-0.1648260972654905</v>
      </c>
      <c r="V53" s="6">
        <v>0.35</v>
      </c>
      <c r="W53" s="190"/>
      <c r="X53" s="188"/>
      <c r="Y53" s="188"/>
      <c r="Z53" s="185"/>
      <c r="AA53" s="185"/>
      <c r="AB53" s="188"/>
      <c r="AC53" s="188"/>
      <c r="AD53" s="189"/>
      <c r="AF53" s="52">
        <f t="shared" si="200"/>
        <v>40.34835725932674</v>
      </c>
      <c r="AG53" s="187"/>
      <c r="AI53" s="11" t="s">
        <v>45</v>
      </c>
      <c r="AJ53" s="177">
        <v>45800</v>
      </c>
      <c r="AK53" s="10"/>
      <c r="AL53" s="170">
        <v>0.47833219731083965</v>
      </c>
      <c r="AM53" s="171">
        <v>20.8</v>
      </c>
      <c r="AN53" s="171">
        <v>21.47</v>
      </c>
      <c r="AO53" s="48">
        <v>42.326409835500002</v>
      </c>
      <c r="AP53" s="175">
        <v>0.47668055725097658</v>
      </c>
      <c r="AQ53" s="48">
        <v>250.17416070100001</v>
      </c>
      <c r="AR53" s="48">
        <f t="shared" si="246"/>
        <v>285.0603842957525</v>
      </c>
      <c r="AS53" s="48">
        <v>93.52</v>
      </c>
      <c r="AT53" s="48">
        <v>44.7</v>
      </c>
      <c r="AU53" s="58">
        <f t="shared" si="298"/>
        <v>2.2350000000000002E-2</v>
      </c>
      <c r="AV53" s="48">
        <v>1</v>
      </c>
      <c r="AW53" s="57">
        <f t="shared" si="333"/>
        <v>0.99862402387296068</v>
      </c>
      <c r="AX53" s="57">
        <v>-7.7000000000000002E-3</v>
      </c>
      <c r="AY53" s="57">
        <f t="shared" si="299"/>
        <v>1.0014444142132377</v>
      </c>
      <c r="AZ53" s="48">
        <f t="shared" si="300"/>
        <v>0.47671223296321918</v>
      </c>
      <c r="BA53" s="49">
        <f t="shared" si="301"/>
        <v>-0.33866930905505055</v>
      </c>
      <c r="BB53" s="6">
        <v>0.27</v>
      </c>
      <c r="BC53" s="190"/>
      <c r="BD53" s="188"/>
      <c r="BE53" s="188"/>
      <c r="BF53" s="185"/>
      <c r="BG53" s="185"/>
      <c r="BH53" s="188"/>
      <c r="BI53" s="188"/>
      <c r="BJ53" s="189"/>
      <c r="BK53" s="26"/>
      <c r="BL53" s="52">
        <f t="shared" si="222"/>
        <v>40.543245051325627</v>
      </c>
      <c r="BM53" s="187"/>
      <c r="BO53" s="11" t="s">
        <v>45</v>
      </c>
      <c r="BP53" s="50">
        <v>45671.431817129633</v>
      </c>
      <c r="BQ53" s="10">
        <v>17.2</v>
      </c>
      <c r="BR53" s="48">
        <v>0.46283639060710147</v>
      </c>
      <c r="BS53" s="48">
        <v>23.028565285653933</v>
      </c>
      <c r="BT53" s="48">
        <v>21.094160600668339</v>
      </c>
      <c r="BU53" s="48">
        <v>47.623670877573367</v>
      </c>
      <c r="BV53" s="48">
        <v>0.46274182113988677</v>
      </c>
      <c r="BW53" s="48">
        <v>247.80829399999999</v>
      </c>
      <c r="BX53" s="48">
        <f t="shared" si="201"/>
        <v>286.82308979649059</v>
      </c>
      <c r="BY53" s="48">
        <v>93.52</v>
      </c>
      <c r="BZ53" s="48">
        <v>44.7</v>
      </c>
      <c r="CA53" s="58">
        <f t="shared" si="202"/>
        <v>2.2350000000000002E-2</v>
      </c>
      <c r="CB53" s="48">
        <v>1</v>
      </c>
      <c r="CC53" s="57">
        <f t="shared" si="203"/>
        <v>0.99859766213239942</v>
      </c>
      <c r="CD53" s="57">
        <v>-7.7000000000000002E-3</v>
      </c>
      <c r="CE53" s="57">
        <f t="shared" si="204"/>
        <v>1.0016165393991019</v>
      </c>
      <c r="CF53" s="48">
        <f t="shared" si="206"/>
        <v>0.46283989214130555</v>
      </c>
      <c r="CG53" s="49">
        <f t="shared" si="205"/>
        <v>7.5653822282508202E-4</v>
      </c>
      <c r="CH53" s="55">
        <v>0.23608412886586422</v>
      </c>
      <c r="CI53" s="190"/>
      <c r="CJ53" s="188"/>
      <c r="CK53" s="188"/>
      <c r="CL53" s="185"/>
      <c r="CM53" s="185"/>
      <c r="CN53" s="188"/>
      <c r="CO53" s="188"/>
      <c r="CP53" s="189"/>
      <c r="CR53" s="52">
        <f t="shared" si="193"/>
        <v>34.979885536040719</v>
      </c>
      <c r="CS53" s="187"/>
      <c r="CV53" s="188"/>
      <c r="CW53" s="188"/>
      <c r="CX53" s="188"/>
      <c r="CY53" s="188"/>
      <c r="CZ53" s="188"/>
      <c r="DA53" s="188"/>
      <c r="DC53" s="198"/>
      <c r="DD53" s="188"/>
      <c r="DE53" s="188"/>
      <c r="DF53" s="188"/>
      <c r="DH53" s="185"/>
      <c r="DI53" s="185"/>
      <c r="DJ53" s="197"/>
      <c r="DK53" s="185"/>
      <c r="DL53" s="185"/>
      <c r="DM53" s="197"/>
      <c r="DN53" s="196"/>
      <c r="DO53" s="185"/>
      <c r="DP53" s="197"/>
    </row>
    <row r="54" spans="2:120" x14ac:dyDescent="0.25">
      <c r="B54" s="13"/>
      <c r="C54" s="11" t="s">
        <v>45</v>
      </c>
      <c r="D54" s="50" t="s">
        <v>89</v>
      </c>
      <c r="E54" s="10">
        <v>17</v>
      </c>
      <c r="F54" s="48">
        <v>0.49367095382785497</v>
      </c>
      <c r="G54" s="48">
        <v>21.350658495710089</v>
      </c>
      <c r="H54" s="48">
        <v>19.984846951698</v>
      </c>
      <c r="I54" s="48">
        <v>43.953987390657602</v>
      </c>
      <c r="J54" s="48">
        <v>0.49280784933894001</v>
      </c>
      <c r="K54" s="48">
        <v>248.711807803</v>
      </c>
      <c r="L54" s="48">
        <f t="shared" si="194"/>
        <v>285.31310341519895</v>
      </c>
      <c r="M54" s="48">
        <v>93.52</v>
      </c>
      <c r="N54" s="48">
        <v>44.7</v>
      </c>
      <c r="O54" s="58">
        <f t="shared" si="195"/>
        <v>2.2350000000000002E-2</v>
      </c>
      <c r="P54" s="48">
        <v>1</v>
      </c>
      <c r="Q54" s="57">
        <f t="shared" si="196"/>
        <v>0.9986078182200967</v>
      </c>
      <c r="R54" s="57">
        <v>-7.7000000000000002E-3</v>
      </c>
      <c r="S54" s="57">
        <f t="shared" si="197"/>
        <v>1.001486939299927</v>
      </c>
      <c r="T54" s="48">
        <f t="shared" si="198"/>
        <v>0.49285352643208874</v>
      </c>
      <c r="U54" s="49">
        <f t="shared" si="199"/>
        <v>-0.17483396222171407</v>
      </c>
      <c r="V54" s="6">
        <v>0.35</v>
      </c>
      <c r="W54" s="190"/>
      <c r="X54" s="188"/>
      <c r="Y54" s="188"/>
      <c r="Z54" s="185"/>
      <c r="AA54" s="185"/>
      <c r="AB54" s="188"/>
      <c r="AC54" s="188"/>
      <c r="AD54" s="189"/>
      <c r="AF54" s="52">
        <f t="shared" si="200"/>
        <v>40.362851312035225</v>
      </c>
      <c r="AG54" s="187"/>
      <c r="AI54" s="11" t="s">
        <v>45</v>
      </c>
      <c r="AJ54" s="177">
        <v>45800</v>
      </c>
      <c r="AK54" s="10"/>
      <c r="AL54" s="170">
        <v>0.47823336848438475</v>
      </c>
      <c r="AM54" s="171">
        <v>20.79</v>
      </c>
      <c r="AN54" s="171">
        <v>21.49</v>
      </c>
      <c r="AO54" s="48">
        <v>42.298776196200002</v>
      </c>
      <c r="AP54" s="175">
        <v>0.47674536641438797</v>
      </c>
      <c r="AQ54" s="48">
        <v>250.19599375600001</v>
      </c>
      <c r="AR54" s="48">
        <f t="shared" si="246"/>
        <v>285.07005965882001</v>
      </c>
      <c r="AS54" s="48">
        <v>93.52</v>
      </c>
      <c r="AT54" s="48">
        <v>44.7</v>
      </c>
      <c r="AU54" s="58">
        <f t="shared" si="298"/>
        <v>2.2350000000000002E-2</v>
      </c>
      <c r="AV54" s="48">
        <v>1</v>
      </c>
      <c r="AW54" s="57">
        <f t="shared" si="333"/>
        <v>0.99862426367795087</v>
      </c>
      <c r="AX54" s="57">
        <v>-7.7000000000000002E-3</v>
      </c>
      <c r="AY54" s="57">
        <f t="shared" si="299"/>
        <v>1.0014436419878288</v>
      </c>
      <c r="AZ54" s="48">
        <f t="shared" si="300"/>
        <v>0.47677679327588918</v>
      </c>
      <c r="BA54" s="49">
        <f t="shared" si="301"/>
        <v>-0.30457414820545498</v>
      </c>
      <c r="BB54" s="6">
        <v>0.27</v>
      </c>
      <c r="BC54" s="190"/>
      <c r="BD54" s="188"/>
      <c r="BE54" s="188"/>
      <c r="BF54" s="185"/>
      <c r="BG54" s="185"/>
      <c r="BH54" s="188"/>
      <c r="BI54" s="188"/>
      <c r="BJ54" s="189"/>
      <c r="BK54" s="26"/>
      <c r="BL54" s="52">
        <f t="shared" si="222"/>
        <v>40.57524764146681</v>
      </c>
      <c r="BM54" s="187"/>
      <c r="BO54" s="11" t="s">
        <v>45</v>
      </c>
      <c r="BP54" s="50">
        <v>45671.433310185188</v>
      </c>
      <c r="BQ54" s="10">
        <v>17.3</v>
      </c>
      <c r="BR54" s="48">
        <v>0.4622824015815834</v>
      </c>
      <c r="BS54" s="48">
        <v>23.002167422724334</v>
      </c>
      <c r="BT54" s="48">
        <v>21.053869680033415</v>
      </c>
      <c r="BU54" s="48">
        <v>47.568225907585536</v>
      </c>
      <c r="BV54" s="48">
        <v>0.46222100282488632</v>
      </c>
      <c r="BW54" s="48">
        <v>247.811002161</v>
      </c>
      <c r="BX54" s="48">
        <f t="shared" si="201"/>
        <v>286.80345174835617</v>
      </c>
      <c r="BY54" s="48">
        <v>93.52</v>
      </c>
      <c r="BZ54" s="48">
        <v>44.7</v>
      </c>
      <c r="CA54" s="58">
        <f t="shared" si="202"/>
        <v>2.2350000000000002E-2</v>
      </c>
      <c r="CB54" s="48">
        <v>1</v>
      </c>
      <c r="CC54" s="57">
        <f t="shared" si="203"/>
        <v>0.99859769273967935</v>
      </c>
      <c r="CD54" s="57">
        <v>-7.7000000000000002E-3</v>
      </c>
      <c r="CE54" s="57">
        <f t="shared" si="204"/>
        <v>1.0016145001908257</v>
      </c>
      <c r="CF54" s="48">
        <f t="shared" si="206"/>
        <v>0.46231803637395391</v>
      </c>
      <c r="CG54" s="49">
        <f t="shared" si="205"/>
        <v>7.708446665629848E-3</v>
      </c>
      <c r="CH54" s="55">
        <v>0.23596317207147285</v>
      </c>
      <c r="CI54" s="190"/>
      <c r="CJ54" s="188"/>
      <c r="CK54" s="188"/>
      <c r="CL54" s="185"/>
      <c r="CM54" s="185"/>
      <c r="CN54" s="188"/>
      <c r="CO54" s="188"/>
      <c r="CP54" s="189"/>
      <c r="CR54" s="52">
        <f t="shared" si="193"/>
        <v>34.98124175163403</v>
      </c>
      <c r="CS54" s="187"/>
      <c r="CV54" s="188"/>
      <c r="CW54" s="188"/>
      <c r="CX54" s="188"/>
      <c r="CY54" s="188"/>
      <c r="CZ54" s="188"/>
      <c r="DA54" s="188"/>
      <c r="DC54" s="198"/>
      <c r="DD54" s="188"/>
      <c r="DE54" s="188"/>
      <c r="DF54" s="188"/>
      <c r="DH54" s="185"/>
      <c r="DI54" s="185"/>
      <c r="DJ54" s="197"/>
      <c r="DK54" s="185"/>
      <c r="DL54" s="185"/>
      <c r="DM54" s="197"/>
      <c r="DN54" s="196"/>
      <c r="DO54" s="185"/>
      <c r="DP54" s="197"/>
    </row>
    <row r="55" spans="2:120" x14ac:dyDescent="0.25">
      <c r="B55" s="13"/>
      <c r="C55" s="11" t="s">
        <v>45</v>
      </c>
      <c r="D55" s="50" t="s">
        <v>90</v>
      </c>
      <c r="E55" s="10">
        <v>18</v>
      </c>
      <c r="F55" s="48">
        <v>0.25488036304815098</v>
      </c>
      <c r="G55" s="48">
        <v>21.351695975299894</v>
      </c>
      <c r="H55" s="48">
        <v>19.941318324623001</v>
      </c>
      <c r="I55" s="48">
        <v>43.9664886330347</v>
      </c>
      <c r="J55" s="48">
        <v>0.25476504223887397</v>
      </c>
      <c r="K55" s="48">
        <v>248.68628868600001</v>
      </c>
      <c r="L55" s="48">
        <f t="shared" si="194"/>
        <v>285.29191905433652</v>
      </c>
      <c r="M55" s="48">
        <v>93.52</v>
      </c>
      <c r="N55" s="48">
        <v>44.7</v>
      </c>
      <c r="O55" s="58">
        <f t="shared" si="195"/>
        <v>2.2350000000000002E-2</v>
      </c>
      <c r="P55" s="48">
        <v>1</v>
      </c>
      <c r="Q55" s="57">
        <f t="shared" si="196"/>
        <v>0.99860753288390325</v>
      </c>
      <c r="R55" s="57">
        <v>-7.7000000000000002E-3</v>
      </c>
      <c r="S55" s="57">
        <f t="shared" ref="S55:S57" si="373">1/(1+R55/100*((G55)-2.06843))</f>
        <v>1.0014870194236094</v>
      </c>
      <c r="T55" s="48">
        <f t="shared" si="198"/>
        <v>0.25478860333846043</v>
      </c>
      <c r="U55" s="49">
        <f t="shared" si="199"/>
        <v>-4.5245074158664259E-2</v>
      </c>
      <c r="V55" s="6">
        <v>0.35</v>
      </c>
      <c r="W55" s="190">
        <f>AVERAGE(U55:U57)</f>
        <v>-5.2923531586678223E-2</v>
      </c>
      <c r="X55" s="188">
        <f t="shared" ref="X55" si="374">STDEV(U55:U57)</f>
        <v>5.2241386114475014E-2</v>
      </c>
      <c r="Y55" s="188">
        <f t="shared" ref="Y55" si="375">COUNT(V55:V57)</f>
        <v>3</v>
      </c>
      <c r="Z55" s="185">
        <f t="shared" ref="Z55" si="376">TINV(0.05,Y55-1)</f>
        <v>4.3026527297494637</v>
      </c>
      <c r="AA55" s="185">
        <f t="shared" ref="AA55" si="377">X55*Z55/SQRT(Y55)</f>
        <v>0.12977479736107747</v>
      </c>
      <c r="AB55" s="188">
        <f t="shared" ref="AB55" si="378">AVERAGE(V55:V57)</f>
        <v>0.34999999999999992</v>
      </c>
      <c r="AC55" s="188">
        <f t="shared" ref="AC55" si="379">SQRT(AA55^2+AB55^2)</f>
        <v>0.37328474122324995</v>
      </c>
      <c r="AD55" s="189">
        <f t="shared" ref="AD55" si="380">AVERAGE(F55:F57)</f>
        <v>0.25443030919651199</v>
      </c>
      <c r="AF55" s="52">
        <f t="shared" si="200"/>
        <v>20.860300209892873</v>
      </c>
      <c r="AG55" s="187">
        <f t="shared" ref="AG55" si="381">AVERAGE(AF55:AF57)</f>
        <v>20.817934705615126</v>
      </c>
      <c r="AI55" s="11" t="s">
        <v>45</v>
      </c>
      <c r="AJ55" s="177">
        <v>45800</v>
      </c>
      <c r="AK55" s="10"/>
      <c r="AL55" s="170">
        <v>0.23909166102867774</v>
      </c>
      <c r="AM55" s="170">
        <v>20.82</v>
      </c>
      <c r="AN55" s="172">
        <v>21.54</v>
      </c>
      <c r="AO55" s="48">
        <v>42.357947164300001</v>
      </c>
      <c r="AP55" s="175">
        <v>0.23836074829101556</v>
      </c>
      <c r="AQ55" s="48">
        <v>250.199017357</v>
      </c>
      <c r="AR55" s="48">
        <f t="shared" si="246"/>
        <v>285.09424662992762</v>
      </c>
      <c r="AS55" s="48">
        <v>93.52</v>
      </c>
      <c r="AT55" s="48">
        <v>44.7</v>
      </c>
      <c r="AU55" s="58">
        <f t="shared" ref="AU55:AU57" si="382">AT55/2/1000</f>
        <v>2.2350000000000002E-2</v>
      </c>
      <c r="AV55" s="48">
        <v>1</v>
      </c>
      <c r="AW55" s="57">
        <f t="shared" ref="AW55:AW57" si="383">1/(1+AV55*0.5*(2*PI()*AS55/AQ55*AU55)^2)</f>
        <v>0.99862429688295862</v>
      </c>
      <c r="AX55" s="57">
        <v>-7.7000000000000002E-3</v>
      </c>
      <c r="AY55" s="57">
        <f t="shared" ref="AY55:AY57" si="384">1/(1+AX55/100*((AM55)-2.06843))</f>
        <v>1.0014459586676283</v>
      </c>
      <c r="AZ55" s="48">
        <f t="shared" ref="AZ55:AZ57" si="385">AP55*AY55*AW55</f>
        <v>0.23837702030707764</v>
      </c>
      <c r="BA55" s="49">
        <f t="shared" ref="BA55:BA56" si="386">(AZ55-AL55)/AL55*100</f>
        <v>-0.29889822109453845</v>
      </c>
      <c r="BB55" s="6">
        <v>0.27</v>
      </c>
      <c r="BC55" s="190">
        <f t="shared" ref="BC55" si="387">AVERAGE(BA55:BA57)</f>
        <v>-0.27529590966746653</v>
      </c>
      <c r="BD55" s="188">
        <f t="shared" ref="BD55" si="388">STDEV(BA55:BA57)</f>
        <v>3.0085659096610078E-2</v>
      </c>
      <c r="BE55" s="188">
        <f t="shared" ref="BE55" si="389">COUNT(BB55:BB57)</f>
        <v>3</v>
      </c>
      <c r="BF55" s="185">
        <f t="shared" ref="BF55" si="390">TINV(0.05,BE55-1)</f>
        <v>4.3026527297494637</v>
      </c>
      <c r="BG55" s="185">
        <f t="shared" ref="BG55" si="391">BD55*BF55/SQRT(BE55)</f>
        <v>7.4736920344753502E-2</v>
      </c>
      <c r="BH55" s="188">
        <f t="shared" ref="BH55" si="392">AVERAGE(BB55:BB57)</f>
        <v>0.27</v>
      </c>
      <c r="BI55" s="188">
        <f t="shared" ref="BI55" si="393">SQRT(BG55^2+BH55^2)</f>
        <v>0.28015282840374472</v>
      </c>
      <c r="BJ55" s="189">
        <f t="shared" ref="BJ55" si="394">AVERAGE(AL55:AL57)</f>
        <v>0.23911609379345197</v>
      </c>
      <c r="BL55" s="52">
        <f t="shared" si="222"/>
        <v>20.258269139418449</v>
      </c>
      <c r="BM55" s="187">
        <f t="shared" si="310"/>
        <v>20.233835337505031</v>
      </c>
      <c r="BO55" s="11" t="s">
        <v>45</v>
      </c>
      <c r="BP55" s="50">
        <v>45671.438680555555</v>
      </c>
      <c r="BQ55" s="10">
        <v>18.100000000000001</v>
      </c>
      <c r="BR55" s="48">
        <v>0.3293036581226883</v>
      </c>
      <c r="BS55" s="48">
        <v>22.885495030495949</v>
      </c>
      <c r="BT55" s="48">
        <v>20.863241414715716</v>
      </c>
      <c r="BU55" s="48">
        <v>47.330215837215263</v>
      </c>
      <c r="BV55" s="48">
        <v>0.32903951716044216</v>
      </c>
      <c r="BW55" s="48">
        <v>247.79264592499999</v>
      </c>
      <c r="BX55" s="48">
        <f t="shared" si="201"/>
        <v>286.71052009574305</v>
      </c>
      <c r="BY55" s="48">
        <v>93.52</v>
      </c>
      <c r="BZ55" s="48">
        <v>44.7</v>
      </c>
      <c r="CA55" s="58">
        <f t="shared" si="202"/>
        <v>2.2350000000000002E-2</v>
      </c>
      <c r="CB55" s="48">
        <v>1</v>
      </c>
      <c r="CC55" s="57">
        <f t="shared" si="203"/>
        <v>0.99859748526029468</v>
      </c>
      <c r="CD55" s="57">
        <v>-7.7000000000000002E-3</v>
      </c>
      <c r="CE55" s="57">
        <f t="shared" si="204"/>
        <v>1.0016054874656954</v>
      </c>
      <c r="CF55" s="48">
        <f t="shared" si="206"/>
        <v>0.32910556230339139</v>
      </c>
      <c r="CG55" s="49">
        <f t="shared" si="205"/>
        <v>-6.0155972887222832E-2</v>
      </c>
      <c r="CH55" s="55">
        <v>0.23311403723656163</v>
      </c>
      <c r="CI55" s="190">
        <f>AVERAGE(CG55:CG57)</f>
        <v>-7.2105537168527328E-2</v>
      </c>
      <c r="CJ55" s="188">
        <f t="shared" ref="CJ55" si="395">STDEV(CG55:CG57)</f>
        <v>1.6398732502737445E-2</v>
      </c>
      <c r="CK55" s="188">
        <f t="shared" ref="CK55" si="396">COUNT(CH55:CH57)</f>
        <v>3</v>
      </c>
      <c r="CL55" s="185">
        <f t="shared" ref="CL55" si="397">TINV(0.05,CK55-1)</f>
        <v>4.3026527297494637</v>
      </c>
      <c r="CM55" s="185">
        <f t="shared" ref="CM55" si="398">CJ55*CL55/SQRT(CK55)</f>
        <v>4.0736709834955975E-2</v>
      </c>
      <c r="CN55" s="188">
        <f t="shared" ref="CN55" si="399">AVERAGE(CH55:CH57)</f>
        <v>0.2327498898145062</v>
      </c>
      <c r="CO55" s="188">
        <f t="shared" ref="CO55" si="400">SQRT(CM55^2+CN55^2)</f>
        <v>0.23628794031190456</v>
      </c>
      <c r="CP55" s="189">
        <f>AVERAGE(BR55:BR57)</f>
        <v>0.32891255784956436</v>
      </c>
      <c r="CR55" s="52">
        <f t="shared" si="193"/>
        <v>25.027189097375683</v>
      </c>
      <c r="CS55" s="187">
        <f t="shared" ref="CS55" si="401">AVERAGE(CR55:CR57)</f>
        <v>25.022287073865389</v>
      </c>
      <c r="CV55" s="188">
        <f>W55*CW55</f>
        <v>-0.37981170243513956</v>
      </c>
      <c r="CW55" s="188">
        <f>1/AC55^2</f>
        <v>7.1766129554881184</v>
      </c>
      <c r="CX55" s="188">
        <f t="shared" ref="CX55" si="402">BC55*CY55</f>
        <v>-3.5075973706403034</v>
      </c>
      <c r="CY55" s="188">
        <f t="shared" ref="CY55" si="403">1/BI55^2</f>
        <v>12.741189561723512</v>
      </c>
      <c r="CZ55" s="188">
        <f t="shared" ref="CZ55" si="404">CI55*DA55</f>
        <v>-1.291473512173132</v>
      </c>
      <c r="DA55" s="188">
        <f t="shared" ref="DA55" si="405">1/CO55^2</f>
        <v>17.910878455210167</v>
      </c>
      <c r="DC55" s="198">
        <f>AVERAGE(AD55,BJ55,CP55)</f>
        <v>0.27415298694650941</v>
      </c>
      <c r="DD55" s="188">
        <f t="shared" ref="DD55" si="406">SUM(CV55,CX55,CZ55)/SUM(CW55,CY55,DA55)</f>
        <v>-0.13690359938862606</v>
      </c>
      <c r="DE55" s="188">
        <f t="shared" ref="DE55" si="407">SUM(CW55,CY55,DA55)</f>
        <v>37.828680972421793</v>
      </c>
      <c r="DF55" s="188">
        <f t="shared" ref="DF55" si="408">SQRT(DE55^-1)</f>
        <v>0.16258834142375209</v>
      </c>
      <c r="DH55" s="185">
        <f>W55-DD55</f>
        <v>8.3980067801947833E-2</v>
      </c>
      <c r="DI55" s="185">
        <f>SQRT(AC55^2-DF55^2)</f>
        <v>0.33601566818108658</v>
      </c>
      <c r="DJ55" s="197">
        <f t="shared" ref="DJ55" si="409">ABS(DH55/DI55)</f>
        <v>0.24992902341889914</v>
      </c>
      <c r="DK55" s="185">
        <f t="shared" ref="DK55" si="410">BC55-DD55</f>
        <v>-0.13839231027884047</v>
      </c>
      <c r="DL55" s="185">
        <f t="shared" ref="DL55" si="411">SQRT(BI55^2-DF55^2)</f>
        <v>0.22814609024853233</v>
      </c>
      <c r="DM55" s="197">
        <f t="shared" ref="DM55" si="412">ABS(DK55/DL55)</f>
        <v>0.60659514317375307</v>
      </c>
      <c r="DN55" s="196">
        <f t="shared" ref="DN55" si="413">CI55-DD55</f>
        <v>6.4798062220098734E-2</v>
      </c>
      <c r="DO55" s="185">
        <f t="shared" ref="DO55" si="414">SQRT(CO55^2-DF55^2)</f>
        <v>0.17145559766282228</v>
      </c>
      <c r="DP55" s="197">
        <f t="shared" ref="DP55" si="415">ABS(DN55/DO55)</f>
        <v>0.37792911461268247</v>
      </c>
    </row>
    <row r="56" spans="2:120" x14ac:dyDescent="0.25">
      <c r="B56" s="13"/>
      <c r="C56" s="11" t="s">
        <v>45</v>
      </c>
      <c r="D56" s="50" t="s">
        <v>91</v>
      </c>
      <c r="E56" s="10">
        <v>19</v>
      </c>
      <c r="F56" s="48">
        <v>0.25431302895328101</v>
      </c>
      <c r="G56" s="48">
        <v>21.355416659009997</v>
      </c>
      <c r="H56" s="48">
        <v>19.929820886015001</v>
      </c>
      <c r="I56" s="48">
        <v>43.978023805010402</v>
      </c>
      <c r="J56" s="48">
        <v>0.25403689790171602</v>
      </c>
      <c r="K56" s="48">
        <v>248.670251116</v>
      </c>
      <c r="L56" s="48">
        <f t="shared" si="194"/>
        <v>285.28632325826788</v>
      </c>
      <c r="M56" s="48">
        <v>93.52</v>
      </c>
      <c r="N56" s="48">
        <v>44.7</v>
      </c>
      <c r="O56" s="58">
        <f t="shared" si="195"/>
        <v>2.2350000000000002E-2</v>
      </c>
      <c r="P56" s="48">
        <v>1</v>
      </c>
      <c r="Q56" s="57">
        <f t="shared" si="196"/>
        <v>0.99860735351859864</v>
      </c>
      <c r="R56" s="57">
        <v>-7.7000000000000002E-3</v>
      </c>
      <c r="S56" s="57">
        <f t="shared" si="373"/>
        <v>1.0014873067690113</v>
      </c>
      <c r="T56" s="48">
        <f t="shared" si="198"/>
        <v>0.25406041892280379</v>
      </c>
      <c r="U56" s="49">
        <f t="shared" si="199"/>
        <v>-0.10857919969791026</v>
      </c>
      <c r="V56" s="6">
        <v>0.35</v>
      </c>
      <c r="W56" s="190"/>
      <c r="X56" s="188"/>
      <c r="Y56" s="188"/>
      <c r="Z56" s="185"/>
      <c r="AA56" s="185"/>
      <c r="AB56" s="188"/>
      <c r="AC56" s="188"/>
      <c r="AD56" s="189"/>
      <c r="AF56" s="52">
        <f t="shared" si="200"/>
        <v>20.795223462087108</v>
      </c>
      <c r="AG56" s="187"/>
      <c r="AI56" s="11" t="s">
        <v>45</v>
      </c>
      <c r="AJ56" s="177">
        <v>45800</v>
      </c>
      <c r="AK56" s="10"/>
      <c r="AL56" s="170">
        <v>0.23912928356133298</v>
      </c>
      <c r="AM56" s="171">
        <v>20.85</v>
      </c>
      <c r="AN56" s="171">
        <v>21.62</v>
      </c>
      <c r="AO56" s="48">
        <v>42.410622151399998</v>
      </c>
      <c r="AP56" s="175">
        <v>0.23853508758544925</v>
      </c>
      <c r="AQ56" s="48">
        <v>250.22075373199999</v>
      </c>
      <c r="AR56" s="48">
        <f t="shared" si="246"/>
        <v>285.13294151614701</v>
      </c>
      <c r="AS56" s="48">
        <v>93.52</v>
      </c>
      <c r="AT56" s="48">
        <v>44.7</v>
      </c>
      <c r="AU56" s="58">
        <f t="shared" si="382"/>
        <v>2.2350000000000002E-2</v>
      </c>
      <c r="AV56" s="48">
        <v>1</v>
      </c>
      <c r="AW56" s="57">
        <f t="shared" si="383"/>
        <v>0.99862453555518005</v>
      </c>
      <c r="AX56" s="57">
        <v>-7.7000000000000002E-3</v>
      </c>
      <c r="AY56" s="57">
        <f t="shared" si="384"/>
        <v>1.0014482753581464</v>
      </c>
      <c r="AZ56" s="48">
        <f t="shared" si="385"/>
        <v>0.23855198036891465</v>
      </c>
      <c r="BA56" s="49">
        <f t="shared" si="386"/>
        <v>-0.24141886088587852</v>
      </c>
      <c r="BB56" s="6">
        <v>0.27</v>
      </c>
      <c r="BC56" s="190"/>
      <c r="BD56" s="188"/>
      <c r="BE56" s="188"/>
      <c r="BF56" s="185"/>
      <c r="BG56" s="185"/>
      <c r="BH56" s="188"/>
      <c r="BI56" s="188"/>
      <c r="BJ56" s="189"/>
      <c r="BL56" s="52">
        <f t="shared" si="222"/>
        <v>20.247906579679125</v>
      </c>
      <c r="BM56" s="187"/>
      <c r="BO56" s="11" t="s">
        <v>45</v>
      </c>
      <c r="BP56" s="50">
        <v>45671.44023148148</v>
      </c>
      <c r="BQ56" s="10">
        <v>18.2</v>
      </c>
      <c r="BR56" s="48">
        <v>0.32890230308856228</v>
      </c>
      <c r="BS56" s="48">
        <v>22.857390484531933</v>
      </c>
      <c r="BT56" s="48">
        <v>20.811422216374268</v>
      </c>
      <c r="BU56" s="48">
        <v>47.275923462854216</v>
      </c>
      <c r="BV56" s="48">
        <v>0.32853843706511648</v>
      </c>
      <c r="BW56" s="48">
        <v>247.78888678300001</v>
      </c>
      <c r="BX56" s="48">
        <f t="shared" si="201"/>
        <v>286.68525292762672</v>
      </c>
      <c r="BY56" s="48">
        <v>93.52</v>
      </c>
      <c r="BZ56" s="48">
        <v>44.7</v>
      </c>
      <c r="CA56" s="58">
        <f t="shared" si="202"/>
        <v>2.2350000000000002E-2</v>
      </c>
      <c r="CB56" s="48">
        <v>1</v>
      </c>
      <c r="CC56" s="57">
        <f t="shared" si="203"/>
        <v>0.99859744276527052</v>
      </c>
      <c r="CD56" s="57">
        <v>-7.7000000000000002E-3</v>
      </c>
      <c r="CE56" s="57">
        <f t="shared" si="204"/>
        <v>1.0016033164660736</v>
      </c>
      <c r="CF56" s="48">
        <f t="shared" si="206"/>
        <v>0.32860365539066227</v>
      </c>
      <c r="CG56" s="49">
        <f t="shared" si="205"/>
        <v>-9.0801339819011562E-2</v>
      </c>
      <c r="CH56" s="55">
        <v>0.23357842524940439</v>
      </c>
      <c r="CI56" s="190"/>
      <c r="CJ56" s="188"/>
      <c r="CK56" s="188"/>
      <c r="CL56" s="185"/>
      <c r="CM56" s="185"/>
      <c r="CN56" s="188"/>
      <c r="CO56" s="188"/>
      <c r="CP56" s="189"/>
      <c r="CR56" s="52">
        <f t="shared" si="193"/>
        <v>25.017774097289166</v>
      </c>
      <c r="CS56" s="187"/>
      <c r="CV56" s="188"/>
      <c r="CW56" s="188"/>
      <c r="CX56" s="188"/>
      <c r="CY56" s="188"/>
      <c r="CZ56" s="188"/>
      <c r="DA56" s="188"/>
      <c r="DC56" s="198"/>
      <c r="DD56" s="188"/>
      <c r="DE56" s="188"/>
      <c r="DF56" s="188"/>
      <c r="DH56" s="185"/>
      <c r="DI56" s="185"/>
      <c r="DJ56" s="197"/>
      <c r="DK56" s="185"/>
      <c r="DL56" s="185"/>
      <c r="DM56" s="197"/>
      <c r="DN56" s="196"/>
      <c r="DO56" s="185"/>
      <c r="DP56" s="197"/>
    </row>
    <row r="57" spans="2:120" x14ac:dyDescent="0.25">
      <c r="B57" s="13"/>
      <c r="C57" s="11" t="s">
        <v>45</v>
      </c>
      <c r="D57" s="50" t="s">
        <v>92</v>
      </c>
      <c r="E57" s="10">
        <v>20</v>
      </c>
      <c r="F57" s="48">
        <v>0.254097535588104</v>
      </c>
      <c r="G57" s="48">
        <v>21.357127377867801</v>
      </c>
      <c r="H57" s="48">
        <v>19.939089990273999</v>
      </c>
      <c r="I57" s="48">
        <v>43.979880164407</v>
      </c>
      <c r="J57" s="48">
        <v>0.25408496710858602</v>
      </c>
      <c r="K57" s="48">
        <v>248.67663360399999</v>
      </c>
      <c r="L57" s="48">
        <f t="shared" si="194"/>
        <v>285.2908345339988</v>
      </c>
      <c r="M57" s="48">
        <v>93.52</v>
      </c>
      <c r="N57" s="48">
        <v>44.7</v>
      </c>
      <c r="O57" s="58">
        <f t="shared" si="195"/>
        <v>2.2350000000000002E-2</v>
      </c>
      <c r="P57" s="48">
        <v>1</v>
      </c>
      <c r="Q57" s="57">
        <f t="shared" si="196"/>
        <v>0.99860742490494026</v>
      </c>
      <c r="R57" s="57">
        <v>-7.7000000000000002E-3</v>
      </c>
      <c r="S57" s="57">
        <f t="shared" si="373"/>
        <v>1.0014874388865043</v>
      </c>
      <c r="T57" s="48">
        <f t="shared" si="198"/>
        <v>0.25410854426784807</v>
      </c>
      <c r="U57" s="49">
        <f t="shared" si="199"/>
        <v>-4.9463209034601432E-3</v>
      </c>
      <c r="V57" s="6">
        <v>0.35</v>
      </c>
      <c r="W57" s="190"/>
      <c r="X57" s="188"/>
      <c r="Y57" s="188"/>
      <c r="Z57" s="185"/>
      <c r="AA57" s="185"/>
      <c r="AB57" s="188"/>
      <c r="AC57" s="188"/>
      <c r="AD57" s="189"/>
      <c r="AF57" s="52">
        <f t="shared" si="200"/>
        <v>20.798280444865398</v>
      </c>
      <c r="AG57" s="187"/>
      <c r="AI57" s="11" t="s">
        <v>45</v>
      </c>
      <c r="AJ57" s="177">
        <v>45800</v>
      </c>
      <c r="AK57" s="10"/>
      <c r="AL57" s="170">
        <v>0.23912733679034517</v>
      </c>
      <c r="AM57" s="171">
        <v>20.89</v>
      </c>
      <c r="AN57" s="171">
        <v>21.63</v>
      </c>
      <c r="AO57" s="48">
        <v>42.501751721399998</v>
      </c>
      <c r="AP57" s="175">
        <v>0.23842692057291667</v>
      </c>
      <c r="AQ57" s="48">
        <v>250.18953214699999</v>
      </c>
      <c r="AR57" s="48">
        <f t="shared" si="246"/>
        <v>285.1377780077047</v>
      </c>
      <c r="AS57" s="48">
        <v>93.52</v>
      </c>
      <c r="AT57" s="48">
        <v>44.7</v>
      </c>
      <c r="AU57" s="58">
        <f t="shared" si="382"/>
        <v>2.2350000000000002E-2</v>
      </c>
      <c r="AV57" s="48">
        <v>1</v>
      </c>
      <c r="AW57" s="57">
        <f t="shared" si="383"/>
        <v>0.99862419271291436</v>
      </c>
      <c r="AX57" s="57">
        <v>-7.7000000000000002E-3</v>
      </c>
      <c r="AY57" s="57">
        <f t="shared" si="384"/>
        <v>1.0014513642955105</v>
      </c>
      <c r="AZ57" s="48">
        <f t="shared" si="385"/>
        <v>0.23844445930746655</v>
      </c>
      <c r="BA57" s="49">
        <f>(AZ57-AL57)/AL57*100</f>
        <v>-0.2855706470219827</v>
      </c>
      <c r="BB57" s="6">
        <v>0.27</v>
      </c>
      <c r="BC57" s="190"/>
      <c r="BD57" s="188"/>
      <c r="BE57" s="188"/>
      <c r="BF57" s="185"/>
      <c r="BG57" s="185"/>
      <c r="BH57" s="188"/>
      <c r="BI57" s="188"/>
      <c r="BJ57" s="189"/>
      <c r="BL57" s="52">
        <f t="shared" si="222"/>
        <v>20.19533029341753</v>
      </c>
      <c r="BM57" s="187"/>
      <c r="BO57" s="11" t="s">
        <v>45</v>
      </c>
      <c r="BP57" s="50">
        <v>45671.441759259258</v>
      </c>
      <c r="BQ57" s="10">
        <v>18.3</v>
      </c>
      <c r="BR57" s="48">
        <v>0.32853171233744244</v>
      </c>
      <c r="BS57" s="48">
        <v>22.83211529747172</v>
      </c>
      <c r="BT57" s="48">
        <v>20.768609637959866</v>
      </c>
      <c r="BU57" s="48">
        <v>47.22698630006056</v>
      </c>
      <c r="BV57" s="48">
        <v>0.32825245425538835</v>
      </c>
      <c r="BW57" s="48">
        <v>247.79171056000001</v>
      </c>
      <c r="BX57" s="48">
        <f>SQRT(($BQ$32)*8.314*(BT57+273.15)/($BQ$33/1000))</f>
        <v>286.66437572935649</v>
      </c>
      <c r="BY57" s="48">
        <v>93.52</v>
      </c>
      <c r="BZ57" s="48">
        <v>44.7</v>
      </c>
      <c r="CA57" s="58">
        <f t="shared" si="202"/>
        <v>2.2350000000000002E-2</v>
      </c>
      <c r="CB57" s="48">
        <v>1</v>
      </c>
      <c r="CC57" s="57">
        <f>1/(1+CB57*0.5*(2*PI()*BY57/BW57*CA57)^2)</f>
        <v>0.99859747468669036</v>
      </c>
      <c r="CD57" s="57">
        <v>-7.7000000000000002E-3</v>
      </c>
      <c r="CE57" s="57">
        <f t="shared" si="204"/>
        <v>1.0016013640347579</v>
      </c>
      <c r="CF57" s="48">
        <f t="shared" si="206"/>
        <v>0.3283169863139252</v>
      </c>
      <c r="CG57" s="49">
        <f t="shared" si="205"/>
        <v>-6.5359298799347598E-2</v>
      </c>
      <c r="CH57" s="55">
        <v>0.23155720695755258</v>
      </c>
      <c r="CI57" s="190"/>
      <c r="CJ57" s="188"/>
      <c r="CK57" s="188"/>
      <c r="CL57" s="185"/>
      <c r="CM57" s="185"/>
      <c r="CN57" s="188"/>
      <c r="CO57" s="188"/>
      <c r="CP57" s="189"/>
      <c r="CR57" s="52">
        <f t="shared" si="193"/>
        <v>25.021898026931325</v>
      </c>
      <c r="CS57" s="187"/>
      <c r="CV57" s="188"/>
      <c r="CW57" s="188"/>
      <c r="CX57" s="188"/>
      <c r="CY57" s="188"/>
      <c r="CZ57" s="188"/>
      <c r="DA57" s="188"/>
      <c r="DC57" s="198"/>
      <c r="DD57" s="188"/>
      <c r="DE57" s="188"/>
      <c r="DF57" s="188"/>
      <c r="DH57" s="185"/>
      <c r="DI57" s="185"/>
      <c r="DJ57" s="197"/>
      <c r="DK57" s="185"/>
      <c r="DL57" s="185"/>
      <c r="DM57" s="197"/>
      <c r="DN57" s="196"/>
      <c r="DO57" s="185"/>
      <c r="DP57" s="197"/>
    </row>
    <row r="60" spans="2:120" x14ac:dyDescent="0.25">
      <c r="BB60" s="13"/>
    </row>
    <row r="61" spans="2:120" x14ac:dyDescent="0.25">
      <c r="BB61" s="13"/>
    </row>
    <row r="62" spans="2:120" x14ac:dyDescent="0.25">
      <c r="BB62" s="13"/>
    </row>
    <row r="63" spans="2:120" x14ac:dyDescent="0.25">
      <c r="BB63" s="13"/>
    </row>
    <row r="64" spans="2:120" x14ac:dyDescent="0.25">
      <c r="BB64" s="13"/>
    </row>
    <row r="65" spans="54:54" x14ac:dyDescent="0.25">
      <c r="BB65" s="13"/>
    </row>
    <row r="66" spans="54:54" x14ac:dyDescent="0.25">
      <c r="BB66" s="13"/>
    </row>
    <row r="67" spans="54:54" x14ac:dyDescent="0.25">
      <c r="BB67" s="13"/>
    </row>
    <row r="68" spans="54:54" x14ac:dyDescent="0.25">
      <c r="BB68" s="13"/>
    </row>
    <row r="69" spans="54:54" x14ac:dyDescent="0.25">
      <c r="BB69" s="13"/>
    </row>
    <row r="70" spans="54:54" x14ac:dyDescent="0.25">
      <c r="BB70" s="13"/>
    </row>
    <row r="71" spans="54:54" x14ac:dyDescent="0.25">
      <c r="BB71" s="13"/>
    </row>
    <row r="72" spans="54:54" x14ac:dyDescent="0.25">
      <c r="BB72" s="13"/>
    </row>
    <row r="73" spans="54:54" x14ac:dyDescent="0.25">
      <c r="BB73" s="13"/>
    </row>
    <row r="74" spans="54:54" x14ac:dyDescent="0.25">
      <c r="BB74" s="13"/>
    </row>
    <row r="75" spans="54:54" x14ac:dyDescent="0.25">
      <c r="BB75" s="13"/>
    </row>
    <row r="76" spans="54:54" x14ac:dyDescent="0.25">
      <c r="BB76" s="13"/>
    </row>
    <row r="77" spans="54:54" x14ac:dyDescent="0.25">
      <c r="BB77" s="13"/>
    </row>
  </sheetData>
  <mergeCells count="567">
    <mergeCell ref="DK46:DK48"/>
    <mergeCell ref="DL46:DL48"/>
    <mergeCell ref="DA43:DA45"/>
    <mergeCell ref="DC43:DC45"/>
    <mergeCell ref="DC46:DC48"/>
    <mergeCell ref="DD46:DD48"/>
    <mergeCell ref="DE46:DE48"/>
    <mergeCell ref="DF46:DF48"/>
    <mergeCell ref="DH46:DH48"/>
    <mergeCell ref="DI46:DI48"/>
    <mergeCell ref="DJ46:DJ48"/>
    <mergeCell ref="DF40:DF42"/>
    <mergeCell ref="DH40:DH42"/>
    <mergeCell ref="DI40:DI42"/>
    <mergeCell ref="DJ40:DJ42"/>
    <mergeCell ref="DK40:DK42"/>
    <mergeCell ref="DL40:DL42"/>
    <mergeCell ref="DM40:DM42"/>
    <mergeCell ref="DN37:DP37"/>
    <mergeCell ref="DH37:DJ37"/>
    <mergeCell ref="DK37:DM37"/>
    <mergeCell ref="DN40:DN42"/>
    <mergeCell ref="DO40:DO42"/>
    <mergeCell ref="DP40:DP42"/>
    <mergeCell ref="CV40:CV42"/>
    <mergeCell ref="CW40:CW42"/>
    <mergeCell ref="CX40:CX42"/>
    <mergeCell ref="CY40:CY42"/>
    <mergeCell ref="CZ40:CZ42"/>
    <mergeCell ref="DA40:DA42"/>
    <mergeCell ref="DC40:DC42"/>
    <mergeCell ref="DD40:DD42"/>
    <mergeCell ref="DE40:DE42"/>
    <mergeCell ref="DJ22:DJ24"/>
    <mergeCell ref="DK22:DK24"/>
    <mergeCell ref="DF25:DF27"/>
    <mergeCell ref="DL25:DL27"/>
    <mergeCell ref="DM25:DM27"/>
    <mergeCell ref="DN25:DN27"/>
    <mergeCell ref="DN19:DN21"/>
    <mergeCell ref="DO19:DO21"/>
    <mergeCell ref="DP19:DP21"/>
    <mergeCell ref="DJ19:DJ21"/>
    <mergeCell ref="DK19:DK21"/>
    <mergeCell ref="DL19:DL21"/>
    <mergeCell ref="DL22:DL24"/>
    <mergeCell ref="DM22:DM24"/>
    <mergeCell ref="DN22:DN24"/>
    <mergeCell ref="DO22:DO24"/>
    <mergeCell ref="DP22:DP24"/>
    <mergeCell ref="DM19:DM21"/>
    <mergeCell ref="DO25:DO27"/>
    <mergeCell ref="DP25:DP27"/>
    <mergeCell ref="DI25:DI27"/>
    <mergeCell ref="DJ25:DJ27"/>
    <mergeCell ref="DK25:DK27"/>
    <mergeCell ref="DC22:DC24"/>
    <mergeCell ref="DD22:DD24"/>
    <mergeCell ref="DE22:DE24"/>
    <mergeCell ref="DF22:DF24"/>
    <mergeCell ref="DH22:DH24"/>
    <mergeCell ref="DI22:DI24"/>
    <mergeCell ref="DC19:DC21"/>
    <mergeCell ref="DD19:DD21"/>
    <mergeCell ref="DE19:DE21"/>
    <mergeCell ref="DF19:DF21"/>
    <mergeCell ref="DH19:DH21"/>
    <mergeCell ref="DI19:DI21"/>
    <mergeCell ref="DH13:DH15"/>
    <mergeCell ref="DI13:DI15"/>
    <mergeCell ref="DJ13:DJ15"/>
    <mergeCell ref="DK13:DK15"/>
    <mergeCell ref="DL13:DL15"/>
    <mergeCell ref="DM13:DM15"/>
    <mergeCell ref="DN13:DN15"/>
    <mergeCell ref="DO13:DO15"/>
    <mergeCell ref="DP13:DP15"/>
    <mergeCell ref="DM16:DM18"/>
    <mergeCell ref="DN16:DN18"/>
    <mergeCell ref="DH16:DH18"/>
    <mergeCell ref="DI16:DI18"/>
    <mergeCell ref="DJ16:DJ18"/>
    <mergeCell ref="DK16:DK18"/>
    <mergeCell ref="DL16:DL18"/>
    <mergeCell ref="DO16:DO18"/>
    <mergeCell ref="DP16:DP18"/>
    <mergeCell ref="CY16:CY18"/>
    <mergeCell ref="CZ16:CZ18"/>
    <mergeCell ref="DA16:DA18"/>
    <mergeCell ref="CO46:CO48"/>
    <mergeCell ref="CP46:CP48"/>
    <mergeCell ref="CI49:CI51"/>
    <mergeCell ref="CJ49:CJ51"/>
    <mergeCell ref="CM49:CM51"/>
    <mergeCell ref="CN49:CN51"/>
    <mergeCell ref="CO49:CO51"/>
    <mergeCell ref="CP49:CP51"/>
    <mergeCell ref="CZ19:CZ21"/>
    <mergeCell ref="CO40:CO42"/>
    <mergeCell ref="CP40:CP42"/>
    <mergeCell ref="CI43:CI45"/>
    <mergeCell ref="CJ43:CJ45"/>
    <mergeCell ref="CM43:CM45"/>
    <mergeCell ref="CN43:CN45"/>
    <mergeCell ref="CO43:CO45"/>
    <mergeCell ref="CP43:CP45"/>
    <mergeCell ref="CJ25:CJ27"/>
    <mergeCell ref="DA19:DA21"/>
    <mergeCell ref="CY43:CY45"/>
    <mergeCell ref="CZ43:CZ45"/>
    <mergeCell ref="CY13:CY15"/>
    <mergeCell ref="CZ13:CZ15"/>
    <mergeCell ref="DA13:DA15"/>
    <mergeCell ref="DC13:DC15"/>
    <mergeCell ref="DD13:DD15"/>
    <mergeCell ref="DE13:DE15"/>
    <mergeCell ref="DF13:DF15"/>
    <mergeCell ref="CV22:CV24"/>
    <mergeCell ref="CW22:CW24"/>
    <mergeCell ref="CX22:CX24"/>
    <mergeCell ref="CY22:CY24"/>
    <mergeCell ref="CZ22:CZ24"/>
    <mergeCell ref="DA22:DA24"/>
    <mergeCell ref="CV13:CV15"/>
    <mergeCell ref="CW13:CW15"/>
    <mergeCell ref="DC16:DC18"/>
    <mergeCell ref="DD16:DD18"/>
    <mergeCell ref="DE16:DE18"/>
    <mergeCell ref="DF16:DF18"/>
    <mergeCell ref="CV19:CV21"/>
    <mergeCell ref="CW19:CW21"/>
    <mergeCell ref="CX19:CX21"/>
    <mergeCell ref="CY19:CY21"/>
    <mergeCell ref="CV16:CV18"/>
    <mergeCell ref="BG55:BG57"/>
    <mergeCell ref="BH55:BH57"/>
    <mergeCell ref="BI55:BI57"/>
    <mergeCell ref="BJ55:BJ57"/>
    <mergeCell ref="CI40:CI42"/>
    <mergeCell ref="CJ40:CJ42"/>
    <mergeCell ref="CM40:CM42"/>
    <mergeCell ref="CN40:CN42"/>
    <mergeCell ref="CI55:CI57"/>
    <mergeCell ref="CJ55:CJ57"/>
    <mergeCell ref="CM55:CM57"/>
    <mergeCell ref="CN55:CN57"/>
    <mergeCell ref="CI46:CI48"/>
    <mergeCell ref="CJ46:CJ48"/>
    <mergeCell ref="CM46:CM48"/>
    <mergeCell ref="CN46:CN48"/>
    <mergeCell ref="CJ52:CJ54"/>
    <mergeCell ref="CM52:CM54"/>
    <mergeCell ref="BJ49:BJ51"/>
    <mergeCell ref="CI52:CI54"/>
    <mergeCell ref="BH46:BH48"/>
    <mergeCell ref="BI46:BI48"/>
    <mergeCell ref="BJ46:BJ48"/>
    <mergeCell ref="BG52:BG54"/>
    <mergeCell ref="CX13:CX15"/>
    <mergeCell ref="CV25:CV27"/>
    <mergeCell ref="CW25:CW27"/>
    <mergeCell ref="CI25:CI27"/>
    <mergeCell ref="CW16:CW18"/>
    <mergeCell ref="CX16:CX18"/>
    <mergeCell ref="CV43:CV45"/>
    <mergeCell ref="CW43:CW45"/>
    <mergeCell ref="CX43:CX45"/>
    <mergeCell ref="CP25:CP27"/>
    <mergeCell ref="CI28:CI30"/>
    <mergeCell ref="CJ28:CJ30"/>
    <mergeCell ref="CM28:CM30"/>
    <mergeCell ref="CN28:CN30"/>
    <mergeCell ref="CO28:CO30"/>
    <mergeCell ref="CP28:CP30"/>
    <mergeCell ref="CN22:CN24"/>
    <mergeCell ref="CO22:CO24"/>
    <mergeCell ref="CP22:CP24"/>
    <mergeCell ref="CI13:CI15"/>
    <mergeCell ref="CJ13:CJ15"/>
    <mergeCell ref="CM13:CM15"/>
    <mergeCell ref="CN13:CN15"/>
    <mergeCell ref="CO13:CO15"/>
    <mergeCell ref="BH52:BH54"/>
    <mergeCell ref="BI52:BI54"/>
    <mergeCell ref="BJ52:BJ54"/>
    <mergeCell ref="BC55:BC57"/>
    <mergeCell ref="W40:W42"/>
    <mergeCell ref="X40:X42"/>
    <mergeCell ref="AA40:AA42"/>
    <mergeCell ref="AB40:AB42"/>
    <mergeCell ref="AC40:AC42"/>
    <mergeCell ref="AD40:AD42"/>
    <mergeCell ref="W43:W45"/>
    <mergeCell ref="X43:X45"/>
    <mergeCell ref="AA43:AA45"/>
    <mergeCell ref="AB43:AB45"/>
    <mergeCell ref="AC43:AC45"/>
    <mergeCell ref="AD43:AD45"/>
    <mergeCell ref="W46:W48"/>
    <mergeCell ref="X46:X48"/>
    <mergeCell ref="AA46:AA48"/>
    <mergeCell ref="AB46:AB48"/>
    <mergeCell ref="AC46:AC48"/>
    <mergeCell ref="AD55:AD57"/>
    <mergeCell ref="BC40:BC42"/>
    <mergeCell ref="AD46:AD48"/>
    <mergeCell ref="Z49:Z51"/>
    <mergeCell ref="BE49:BE51"/>
    <mergeCell ref="BF49:BF51"/>
    <mergeCell ref="DD43:DD45"/>
    <mergeCell ref="DE43:DE45"/>
    <mergeCell ref="DF43:DF45"/>
    <mergeCell ref="CX25:CX27"/>
    <mergeCell ref="CY25:CY27"/>
    <mergeCell ref="CZ25:CZ27"/>
    <mergeCell ref="DA25:DA27"/>
    <mergeCell ref="DC25:DC27"/>
    <mergeCell ref="DD25:DD27"/>
    <mergeCell ref="DE25:DE27"/>
    <mergeCell ref="BC49:BC51"/>
    <mergeCell ref="BD49:BD51"/>
    <mergeCell ref="BG49:BG51"/>
    <mergeCell ref="BH49:BH51"/>
    <mergeCell ref="BI49:BI51"/>
    <mergeCell ref="BH25:BH27"/>
    <mergeCell ref="BI25:BI27"/>
    <mergeCell ref="BJ25:BJ27"/>
    <mergeCell ref="CV46:CV48"/>
    <mergeCell ref="CW46:CW48"/>
    <mergeCell ref="CX46:CX48"/>
    <mergeCell ref="BG28:BG30"/>
    <mergeCell ref="BH28:BH30"/>
    <mergeCell ref="BI28:BI30"/>
    <mergeCell ref="BJ28:BJ30"/>
    <mergeCell ref="CI22:CI24"/>
    <mergeCell ref="CJ22:CJ24"/>
    <mergeCell ref="CM22:CM24"/>
    <mergeCell ref="W49:W51"/>
    <mergeCell ref="X49:X51"/>
    <mergeCell ref="AA49:AA51"/>
    <mergeCell ref="AB49:AB51"/>
    <mergeCell ref="AC49:AC51"/>
    <mergeCell ref="BG40:BG42"/>
    <mergeCell ref="BH40:BH42"/>
    <mergeCell ref="BI40:BI42"/>
    <mergeCell ref="BJ40:BJ42"/>
    <mergeCell ref="BC43:BC45"/>
    <mergeCell ref="BD43:BD45"/>
    <mergeCell ref="BG43:BG45"/>
    <mergeCell ref="BH43:BH45"/>
    <mergeCell ref="BI43:BI45"/>
    <mergeCell ref="BJ43:BJ45"/>
    <mergeCell ref="BG46:BG48"/>
    <mergeCell ref="Y49:Y51"/>
    <mergeCell ref="CP13:CP15"/>
    <mergeCell ref="CI16:CI18"/>
    <mergeCell ref="CJ16:CJ18"/>
    <mergeCell ref="CM16:CM18"/>
    <mergeCell ref="CN16:CN18"/>
    <mergeCell ref="CO16:CO18"/>
    <mergeCell ref="CP16:CP18"/>
    <mergeCell ref="CI19:CI21"/>
    <mergeCell ref="CJ19:CJ21"/>
    <mergeCell ref="AD25:AD27"/>
    <mergeCell ref="X28:X30"/>
    <mergeCell ref="AA28:AA30"/>
    <mergeCell ref="AB28:AB30"/>
    <mergeCell ref="AC28:AC30"/>
    <mergeCell ref="AD28:AD30"/>
    <mergeCell ref="BC13:BC15"/>
    <mergeCell ref="BD13:BD15"/>
    <mergeCell ref="BG13:BG15"/>
    <mergeCell ref="BC19:BC21"/>
    <mergeCell ref="BD19:BD21"/>
    <mergeCell ref="BG19:BG21"/>
    <mergeCell ref="BC25:BC27"/>
    <mergeCell ref="BD25:BD27"/>
    <mergeCell ref="AC13:AC15"/>
    <mergeCell ref="AD13:AD15"/>
    <mergeCell ref="AC16:AC18"/>
    <mergeCell ref="AD16:AD18"/>
    <mergeCell ref="AC19:AC21"/>
    <mergeCell ref="AD19:AD21"/>
    <mergeCell ref="AC22:AC24"/>
    <mergeCell ref="AD22:AD24"/>
    <mergeCell ref="AC25:AC27"/>
    <mergeCell ref="BG25:BG27"/>
    <mergeCell ref="Z13:Z15"/>
    <mergeCell ref="Y16:Y18"/>
    <mergeCell ref="BH19:BH21"/>
    <mergeCell ref="BI19:BI21"/>
    <mergeCell ref="BJ19:BJ21"/>
    <mergeCell ref="BC22:BC24"/>
    <mergeCell ref="BD22:BD24"/>
    <mergeCell ref="BG22:BG24"/>
    <mergeCell ref="BH22:BH24"/>
    <mergeCell ref="BI22:BI24"/>
    <mergeCell ref="BJ22:BJ24"/>
    <mergeCell ref="BH13:BH15"/>
    <mergeCell ref="BI13:BI15"/>
    <mergeCell ref="BJ13:BJ15"/>
    <mergeCell ref="BC16:BC18"/>
    <mergeCell ref="BD16:BD18"/>
    <mergeCell ref="BG16:BG18"/>
    <mergeCell ref="BH16:BH18"/>
    <mergeCell ref="BI16:BI18"/>
    <mergeCell ref="BJ16:BJ18"/>
    <mergeCell ref="Z19:Z21"/>
    <mergeCell ref="Y22:Y24"/>
    <mergeCell ref="Z22:Z24"/>
    <mergeCell ref="W13:W15"/>
    <mergeCell ref="W16:W18"/>
    <mergeCell ref="W19:W21"/>
    <mergeCell ref="W22:W24"/>
    <mergeCell ref="W25:W27"/>
    <mergeCell ref="W28:W30"/>
    <mergeCell ref="X13:X15"/>
    <mergeCell ref="AA13:AA15"/>
    <mergeCell ref="AB13:AB15"/>
    <mergeCell ref="X16:X18"/>
    <mergeCell ref="AA16:AA18"/>
    <mergeCell ref="AB16:AB18"/>
    <mergeCell ref="X19:X21"/>
    <mergeCell ref="AA19:AA21"/>
    <mergeCell ref="AB19:AB21"/>
    <mergeCell ref="X22:X24"/>
    <mergeCell ref="AA22:AA24"/>
    <mergeCell ref="AB22:AB24"/>
    <mergeCell ref="X25:X27"/>
    <mergeCell ref="AA25:AA27"/>
    <mergeCell ref="AB25:AB27"/>
    <mergeCell ref="Y13:Y15"/>
    <mergeCell ref="Z16:Z18"/>
    <mergeCell ref="Y19:Y21"/>
    <mergeCell ref="DP55:DP57"/>
    <mergeCell ref="DH55:DH57"/>
    <mergeCell ref="DI55:DI57"/>
    <mergeCell ref="DJ55:DJ57"/>
    <mergeCell ref="DK55:DK57"/>
    <mergeCell ref="DL55:DL57"/>
    <mergeCell ref="DM55:DM57"/>
    <mergeCell ref="DN55:DN57"/>
    <mergeCell ref="DO55:DO57"/>
    <mergeCell ref="DH52:DH54"/>
    <mergeCell ref="DI52:DI54"/>
    <mergeCell ref="DJ52:DJ54"/>
    <mergeCell ref="DK52:DK54"/>
    <mergeCell ref="DL52:DL54"/>
    <mergeCell ref="DM52:DM54"/>
    <mergeCell ref="DH49:DH51"/>
    <mergeCell ref="DI49:DI51"/>
    <mergeCell ref="DJ49:DJ51"/>
    <mergeCell ref="DK49:DK51"/>
    <mergeCell ref="DL49:DL51"/>
    <mergeCell ref="DM49:DM51"/>
    <mergeCell ref="DN49:DN51"/>
    <mergeCell ref="DO49:DO51"/>
    <mergeCell ref="DP49:DP51"/>
    <mergeCell ref="DN43:DN45"/>
    <mergeCell ref="DO43:DO45"/>
    <mergeCell ref="DP43:DP45"/>
    <mergeCell ref="DM46:DM48"/>
    <mergeCell ref="DN46:DN48"/>
    <mergeCell ref="DO46:DO48"/>
    <mergeCell ref="DP46:DP48"/>
    <mergeCell ref="DC55:DC57"/>
    <mergeCell ref="DD55:DD57"/>
    <mergeCell ref="DE55:DE57"/>
    <mergeCell ref="DF55:DF57"/>
    <mergeCell ref="DC49:DC51"/>
    <mergeCell ref="DD49:DD51"/>
    <mergeCell ref="DE49:DE51"/>
    <mergeCell ref="DF49:DF51"/>
    <mergeCell ref="DC52:DC54"/>
    <mergeCell ref="DD52:DD54"/>
    <mergeCell ref="DE52:DE54"/>
    <mergeCell ref="DF52:DF54"/>
    <mergeCell ref="CV37:CW37"/>
    <mergeCell ref="CX37:CY37"/>
    <mergeCell ref="CZ37:DA37"/>
    <mergeCell ref="CV55:CV57"/>
    <mergeCell ref="CW55:CW57"/>
    <mergeCell ref="CX55:CX57"/>
    <mergeCell ref="CY55:CY57"/>
    <mergeCell ref="CZ55:CZ57"/>
    <mergeCell ref="DA55:DA57"/>
    <mergeCell ref="CV49:CV51"/>
    <mergeCell ref="CW49:CW51"/>
    <mergeCell ref="CX49:CX51"/>
    <mergeCell ref="CY49:CY51"/>
    <mergeCell ref="CZ49:CZ51"/>
    <mergeCell ref="DA49:DA51"/>
    <mergeCell ref="CV52:CV54"/>
    <mergeCell ref="CW52:CW54"/>
    <mergeCell ref="CX52:CX54"/>
    <mergeCell ref="CY52:CY54"/>
    <mergeCell ref="CZ52:CZ54"/>
    <mergeCell ref="DA52:DA54"/>
    <mergeCell ref="CY46:CY48"/>
    <mergeCell ref="CZ46:CZ48"/>
    <mergeCell ref="DA46:DA48"/>
    <mergeCell ref="W55:W57"/>
    <mergeCell ref="X55:X57"/>
    <mergeCell ref="AA55:AA57"/>
    <mergeCell ref="AB55:AB57"/>
    <mergeCell ref="AC55:AC57"/>
    <mergeCell ref="DH25:DH27"/>
    <mergeCell ref="DK28:DK30"/>
    <mergeCell ref="CX28:CX30"/>
    <mergeCell ref="CY28:CY30"/>
    <mergeCell ref="DD28:DD30"/>
    <mergeCell ref="DE28:DE30"/>
    <mergeCell ref="DF28:DF30"/>
    <mergeCell ref="CZ28:CZ30"/>
    <mergeCell ref="DA28:DA30"/>
    <mergeCell ref="AD49:AD51"/>
    <mergeCell ref="W52:W54"/>
    <mergeCell ref="X52:X54"/>
    <mergeCell ref="DC28:DC30"/>
    <mergeCell ref="DH43:DH45"/>
    <mergeCell ref="DI43:DI45"/>
    <mergeCell ref="DJ43:DJ45"/>
    <mergeCell ref="DK43:DK45"/>
    <mergeCell ref="DH28:DH30"/>
    <mergeCell ref="DI28:DI30"/>
    <mergeCell ref="CV10:CW10"/>
    <mergeCell ref="CX10:CY10"/>
    <mergeCell ref="CZ10:DA10"/>
    <mergeCell ref="DH10:DJ10"/>
    <mergeCell ref="DK10:DM10"/>
    <mergeCell ref="DN10:DP10"/>
    <mergeCell ref="CO52:CO54"/>
    <mergeCell ref="AA52:AA54"/>
    <mergeCell ref="AB52:AB54"/>
    <mergeCell ref="AC52:AC54"/>
    <mergeCell ref="AD52:AD54"/>
    <mergeCell ref="DN52:DN54"/>
    <mergeCell ref="DO52:DO54"/>
    <mergeCell ref="DP52:DP54"/>
    <mergeCell ref="DL43:DL45"/>
    <mergeCell ref="DM43:DM45"/>
    <mergeCell ref="DN28:DN30"/>
    <mergeCell ref="DO28:DO30"/>
    <mergeCell ref="DP28:DP30"/>
    <mergeCell ref="DL28:DL30"/>
    <mergeCell ref="DM28:DM30"/>
    <mergeCell ref="DJ28:DJ30"/>
    <mergeCell ref="CV28:CV30"/>
    <mergeCell ref="CW28:CW30"/>
    <mergeCell ref="Y25:Y27"/>
    <mergeCell ref="Z25:Z27"/>
    <mergeCell ref="Y28:Y30"/>
    <mergeCell ref="Z28:Z30"/>
    <mergeCell ref="Y40:Y42"/>
    <mergeCell ref="Z40:Z42"/>
    <mergeCell ref="Y43:Y45"/>
    <mergeCell ref="Z43:Z45"/>
    <mergeCell ref="Y46:Y48"/>
    <mergeCell ref="Z46:Z48"/>
    <mergeCell ref="Y52:Y54"/>
    <mergeCell ref="Z52:Z54"/>
    <mergeCell ref="Y55:Y57"/>
    <mergeCell ref="Z55:Z57"/>
    <mergeCell ref="C2:AD3"/>
    <mergeCell ref="BE13:BE15"/>
    <mergeCell ref="BF13:BF15"/>
    <mergeCell ref="BE16:BE18"/>
    <mergeCell ref="BF16:BF18"/>
    <mergeCell ref="BE19:BE21"/>
    <mergeCell ref="BF19:BF21"/>
    <mergeCell ref="BE22:BE24"/>
    <mergeCell ref="BF22:BF24"/>
    <mergeCell ref="BE25:BE27"/>
    <mergeCell ref="BF25:BF27"/>
    <mergeCell ref="BE28:BE30"/>
    <mergeCell ref="BF28:BF30"/>
    <mergeCell ref="AI2:BJ3"/>
    <mergeCell ref="BE40:BE42"/>
    <mergeCell ref="BF40:BF42"/>
    <mergeCell ref="BE43:BE45"/>
    <mergeCell ref="BF43:BF45"/>
    <mergeCell ref="BE46:BE48"/>
    <mergeCell ref="BF46:BF48"/>
    <mergeCell ref="BE52:BE54"/>
    <mergeCell ref="BF52:BF54"/>
    <mergeCell ref="BE55:BE57"/>
    <mergeCell ref="BF55:BF57"/>
    <mergeCell ref="AG13:AG15"/>
    <mergeCell ref="AG16:AG18"/>
    <mergeCell ref="AG19:AG21"/>
    <mergeCell ref="AG22:AG24"/>
    <mergeCell ref="AG25:AG27"/>
    <mergeCell ref="AG28:AG30"/>
    <mergeCell ref="AG40:AG42"/>
    <mergeCell ref="AG43:AG45"/>
    <mergeCell ref="AG46:AG48"/>
    <mergeCell ref="AG49:AG51"/>
    <mergeCell ref="AG52:AG54"/>
    <mergeCell ref="AG55:AG57"/>
    <mergeCell ref="BC52:BC54"/>
    <mergeCell ref="BD52:BD54"/>
    <mergeCell ref="BD40:BD42"/>
    <mergeCell ref="BC46:BC48"/>
    <mergeCell ref="BD46:BD48"/>
    <mergeCell ref="BD55:BD57"/>
    <mergeCell ref="BC28:BC30"/>
    <mergeCell ref="BD28:BD30"/>
    <mergeCell ref="BM49:BM51"/>
    <mergeCell ref="BM52:BM54"/>
    <mergeCell ref="BM55:BM57"/>
    <mergeCell ref="BM13:BM15"/>
    <mergeCell ref="BM16:BM18"/>
    <mergeCell ref="BM19:BM21"/>
    <mergeCell ref="BM22:BM24"/>
    <mergeCell ref="BM25:BM27"/>
    <mergeCell ref="BM28:BM30"/>
    <mergeCell ref="BM40:BM42"/>
    <mergeCell ref="BM43:BM45"/>
    <mergeCell ref="BM46:BM48"/>
    <mergeCell ref="CL52:CL54"/>
    <mergeCell ref="CK55:CK57"/>
    <mergeCell ref="CS13:CS15"/>
    <mergeCell ref="CS16:CS18"/>
    <mergeCell ref="CS19:CS21"/>
    <mergeCell ref="CS22:CS24"/>
    <mergeCell ref="CS25:CS27"/>
    <mergeCell ref="CS28:CS30"/>
    <mergeCell ref="CS40:CS42"/>
    <mergeCell ref="CS43:CS45"/>
    <mergeCell ref="CS46:CS48"/>
    <mergeCell ref="CN52:CN54"/>
    <mergeCell ref="CP52:CP54"/>
    <mergeCell ref="CO55:CO57"/>
    <mergeCell ref="CP55:CP57"/>
    <mergeCell ref="CS49:CS51"/>
    <mergeCell ref="CS52:CS54"/>
    <mergeCell ref="CM19:CM21"/>
    <mergeCell ref="CN19:CN21"/>
    <mergeCell ref="CO19:CO21"/>
    <mergeCell ref="CP19:CP21"/>
    <mergeCell ref="CM25:CM27"/>
    <mergeCell ref="CN25:CN27"/>
    <mergeCell ref="CO25:CO27"/>
    <mergeCell ref="CL55:CL57"/>
    <mergeCell ref="BO2:CP3"/>
    <mergeCell ref="CS55:CS57"/>
    <mergeCell ref="CK13:CK15"/>
    <mergeCell ref="CL13:CL15"/>
    <mergeCell ref="CK16:CK18"/>
    <mergeCell ref="CL16:CL18"/>
    <mergeCell ref="CK19:CK21"/>
    <mergeCell ref="CL19:CL21"/>
    <mergeCell ref="CK22:CK24"/>
    <mergeCell ref="CL22:CL24"/>
    <mergeCell ref="CK25:CK27"/>
    <mergeCell ref="CL25:CL27"/>
    <mergeCell ref="CK28:CK30"/>
    <mergeCell ref="CL28:CL30"/>
    <mergeCell ref="CK40:CK42"/>
    <mergeCell ref="CL40:CL42"/>
    <mergeCell ref="CK43:CK45"/>
    <mergeCell ref="CL43:CL45"/>
    <mergeCell ref="CK46:CK48"/>
    <mergeCell ref="CL46:CL48"/>
    <mergeCell ref="CK49:CK51"/>
    <mergeCell ref="CL49:CL51"/>
    <mergeCell ref="CK52:CK54"/>
  </mergeCells>
  <phoneticPr fontId="14" type="noConversion"/>
  <conditionalFormatting sqref="F13:F30"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0:F5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13:AL3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40:AL5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R13:BR3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R31">
    <cfRule type="colorScale" priority="2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R40:BR5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ignoredErrors>
    <ignoredError sqref="Y16:Y30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3C873-511B-411A-9EF5-9E432016E4CD}">
  <sheetPr codeName="Sheet14">
    <tabColor theme="9"/>
  </sheetPr>
  <dimension ref="A1:BV54"/>
  <sheetViews>
    <sheetView zoomScale="85" zoomScaleNormal="85" workbookViewId="0">
      <selection activeCell="AA13" sqref="AA13"/>
    </sheetView>
  </sheetViews>
  <sheetFormatPr defaultColWidth="12.7109375" defaultRowHeight="15" x14ac:dyDescent="0.25"/>
  <cols>
    <col min="1" max="1" width="20.7109375" style="67" customWidth="1"/>
    <col min="2" max="15" width="12.7109375" style="67" customWidth="1"/>
    <col min="16" max="16" width="12.7109375" style="67"/>
    <col min="17" max="18" width="19.140625" style="67" bestFit="1" customWidth="1"/>
    <col min="19" max="16384" width="12.7109375" style="67"/>
  </cols>
  <sheetData>
    <row r="1" spans="1:74" ht="23.25" x14ac:dyDescent="0.35">
      <c r="A1" s="139" t="s">
        <v>184</v>
      </c>
      <c r="BK1" s="137" t="s">
        <v>183</v>
      </c>
      <c r="BL1" s="137">
        <f>'[1](TBL) Coriolis N2 10 bar'!BL1</f>
        <v>8.20304581916039E-2</v>
      </c>
    </row>
    <row r="2" spans="1:74" ht="21" x14ac:dyDescent="0.35">
      <c r="BC2" s="67" t="s">
        <v>193</v>
      </c>
      <c r="BE2" s="67" t="s">
        <v>192</v>
      </c>
      <c r="BK2" s="137" t="s">
        <v>182</v>
      </c>
      <c r="BL2" s="137">
        <f>'[1](TBL) Coriolis N2 10 bar'!BL2</f>
        <v>-1.2922266296989613E-2</v>
      </c>
    </row>
    <row r="3" spans="1:74" ht="21" x14ac:dyDescent="0.35">
      <c r="A3" s="78" t="s">
        <v>181</v>
      </c>
      <c r="B3" s="77" t="s">
        <v>180</v>
      </c>
      <c r="BB3" s="67">
        <v>0.15240000000000001</v>
      </c>
      <c r="BC3" s="67">
        <v>0</v>
      </c>
      <c r="BD3" s="138">
        <f>MAX(BD13:BD46)</f>
        <v>9872303.3667274248</v>
      </c>
      <c r="BE3" s="67">
        <v>-3.9999999999999998E-7</v>
      </c>
      <c r="BK3" s="137" t="s">
        <v>179</v>
      </c>
      <c r="BL3" s="137">
        <f>'[1](TBL) Coriolis N2 10 bar'!BL3</f>
        <v>-0.11908411135793115</v>
      </c>
    </row>
    <row r="4" spans="1:74" ht="21" x14ac:dyDescent="0.35">
      <c r="A4" s="78" t="s">
        <v>54</v>
      </c>
      <c r="B4" s="77" t="s">
        <v>191</v>
      </c>
      <c r="BC4" s="67">
        <v>5798.78</v>
      </c>
      <c r="BD4" s="138">
        <f>MIN(BD13:BD44)</f>
        <v>833097.81503804366</v>
      </c>
      <c r="BE4" s="67">
        <v>5802.3</v>
      </c>
      <c r="BK4" s="137" t="s">
        <v>177</v>
      </c>
      <c r="BL4" s="137">
        <f>'[1](TBL) Coriolis N2 10 bar'!BL4</f>
        <v>-6.7147345489652774E-2</v>
      </c>
    </row>
    <row r="5" spans="1:74" ht="21" x14ac:dyDescent="0.35">
      <c r="A5" s="78" t="s">
        <v>176</v>
      </c>
      <c r="B5" s="77" t="s">
        <v>190</v>
      </c>
      <c r="AC5" s="67">
        <f>'(TBL) Coriolis N2 60 bar'!AC5</f>
        <v>0</v>
      </c>
      <c r="BK5" s="137" t="s">
        <v>175</v>
      </c>
      <c r="BL5" s="137">
        <f>'[1](TBL) Coriolis N2 10 bar'!BL5</f>
        <v>0.12150091665862671</v>
      </c>
    </row>
    <row r="6" spans="1:74" ht="21" x14ac:dyDescent="0.35">
      <c r="A6" s="78" t="s">
        <v>174</v>
      </c>
      <c r="B6" s="77" t="s">
        <v>190</v>
      </c>
      <c r="BK6" s="137" t="s">
        <v>172</v>
      </c>
      <c r="BL6" s="137">
        <f>'[1](TBL) Coriolis N2 10 bar'!BL6</f>
        <v>-1.1760973620189581E-4</v>
      </c>
    </row>
    <row r="7" spans="1:74" ht="21" x14ac:dyDescent="0.35">
      <c r="A7" s="78"/>
      <c r="B7" s="77"/>
      <c r="AQ7" s="79">
        <f>AVERAGE(AQ13:AQ86)</f>
        <v>0.2807250326752645</v>
      </c>
      <c r="BK7" s="137" t="s">
        <v>171</v>
      </c>
      <c r="BL7" s="137">
        <f>'[1](TBL) Coriolis N2 10 bar'!BL7</f>
        <v>-1.6600711533985849E-2</v>
      </c>
    </row>
    <row r="8" spans="1:74" ht="21" x14ac:dyDescent="0.35">
      <c r="A8" s="78"/>
      <c r="B8" s="77"/>
      <c r="BK8" s="137" t="s">
        <v>170</v>
      </c>
      <c r="BL8" s="137">
        <f>'[1](TBL) Coriolis N2 10 bar'!BL8</f>
        <v>-4.2815480982609365E-2</v>
      </c>
    </row>
    <row r="9" spans="1:74" x14ac:dyDescent="0.25">
      <c r="A9" s="78"/>
      <c r="B9" s="77"/>
      <c r="AM9" s="201" t="s">
        <v>169</v>
      </c>
      <c r="AN9" s="202"/>
      <c r="AO9" s="202"/>
      <c r="AP9" s="202"/>
      <c r="AQ9" s="202"/>
      <c r="AR9" s="202"/>
      <c r="AS9" s="202"/>
      <c r="AT9" s="202"/>
      <c r="AU9" s="203"/>
    </row>
    <row r="10" spans="1:74" x14ac:dyDescent="0.25">
      <c r="C10" s="82"/>
      <c r="D10" s="79"/>
      <c r="E10" s="79"/>
      <c r="F10" s="76"/>
      <c r="G10" s="76"/>
      <c r="H10" s="79"/>
      <c r="I10" s="79"/>
      <c r="J10" s="81"/>
      <c r="K10" s="80"/>
      <c r="L10" s="79"/>
      <c r="M10" s="76"/>
      <c r="N10" s="79"/>
      <c r="O10" s="76"/>
      <c r="Q10" s="205" t="s">
        <v>168</v>
      </c>
      <c r="R10" s="206"/>
      <c r="S10" s="206"/>
      <c r="T10" s="206"/>
      <c r="U10" s="207"/>
      <c r="AA10" s="136"/>
      <c r="AB10" s="136"/>
      <c r="AC10" s="136"/>
      <c r="AE10" s="205" t="s">
        <v>167</v>
      </c>
      <c r="AF10" s="207"/>
      <c r="AP10" s="205" t="s">
        <v>167</v>
      </c>
      <c r="AQ10" s="207"/>
      <c r="AW10" s="201" t="s">
        <v>166</v>
      </c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3"/>
    </row>
    <row r="11" spans="1:74" ht="60" x14ac:dyDescent="0.25">
      <c r="B11" s="135" t="s">
        <v>1</v>
      </c>
      <c r="C11" s="134" t="s">
        <v>0</v>
      </c>
      <c r="D11" s="122" t="s">
        <v>165</v>
      </c>
      <c r="E11" s="122" t="s">
        <v>164</v>
      </c>
      <c r="F11" s="131" t="s">
        <v>154</v>
      </c>
      <c r="G11" s="131" t="s">
        <v>153</v>
      </c>
      <c r="H11" s="122" t="s">
        <v>137</v>
      </c>
      <c r="I11" s="122" t="s">
        <v>152</v>
      </c>
      <c r="J11" s="130" t="s">
        <v>151</v>
      </c>
      <c r="K11" s="129" t="s">
        <v>150</v>
      </c>
      <c r="L11" s="122" t="s">
        <v>149</v>
      </c>
      <c r="M11" s="131" t="s">
        <v>139</v>
      </c>
      <c r="N11" s="122" t="s">
        <v>160</v>
      </c>
      <c r="O11" s="131" t="s">
        <v>159</v>
      </c>
      <c r="Q11" s="132" t="s">
        <v>154</v>
      </c>
      <c r="R11" s="132" t="s">
        <v>163</v>
      </c>
      <c r="S11" s="133" t="s">
        <v>162</v>
      </c>
      <c r="T11" s="133" t="s">
        <v>93</v>
      </c>
      <c r="U11" s="133" t="s">
        <v>161</v>
      </c>
      <c r="V11" s="122" t="s">
        <v>94</v>
      </c>
      <c r="W11" s="122" t="s">
        <v>95</v>
      </c>
      <c r="X11" s="122" t="s">
        <v>96</v>
      </c>
      <c r="Y11" s="122" t="s">
        <v>97</v>
      </c>
      <c r="Z11" s="122" t="s">
        <v>98</v>
      </c>
      <c r="AA11" s="133" t="s">
        <v>99</v>
      </c>
      <c r="AB11" s="133" t="s">
        <v>160</v>
      </c>
      <c r="AC11" s="132" t="s">
        <v>159</v>
      </c>
      <c r="AD11" s="122" t="s">
        <v>137</v>
      </c>
      <c r="AE11" s="133" t="s">
        <v>137</v>
      </c>
      <c r="AF11" s="132" t="s">
        <v>159</v>
      </c>
      <c r="AG11" s="132" t="s">
        <v>158</v>
      </c>
      <c r="AH11" s="132" t="s">
        <v>157</v>
      </c>
      <c r="AI11" s="132" t="s">
        <v>156</v>
      </c>
      <c r="AJ11" s="132" t="s">
        <v>155</v>
      </c>
      <c r="AM11" s="133" t="s">
        <v>160</v>
      </c>
      <c r="AN11" s="131" t="s">
        <v>159</v>
      </c>
      <c r="AO11" s="122" t="s">
        <v>137</v>
      </c>
      <c r="AP11" s="133" t="s">
        <v>137</v>
      </c>
      <c r="AQ11" s="132" t="s">
        <v>159</v>
      </c>
      <c r="AR11" s="132" t="s">
        <v>158</v>
      </c>
      <c r="AS11" s="132" t="s">
        <v>157</v>
      </c>
      <c r="AT11" s="132" t="s">
        <v>156</v>
      </c>
      <c r="AU11" s="132" t="s">
        <v>155</v>
      </c>
      <c r="AW11" s="132" t="s">
        <v>154</v>
      </c>
      <c r="AX11" s="132" t="s">
        <v>153</v>
      </c>
      <c r="AY11" s="133" t="s">
        <v>138</v>
      </c>
      <c r="AZ11" s="133" t="s">
        <v>152</v>
      </c>
      <c r="BA11" s="167" t="s">
        <v>151</v>
      </c>
      <c r="BB11" s="166" t="s">
        <v>150</v>
      </c>
      <c r="BC11" s="133" t="s">
        <v>149</v>
      </c>
      <c r="BD11" s="124" t="s">
        <v>145</v>
      </c>
      <c r="BE11" s="128" t="s">
        <v>148</v>
      </c>
      <c r="BF11" s="127" t="s">
        <v>147</v>
      </c>
      <c r="BG11" s="126" t="s">
        <v>144</v>
      </c>
      <c r="BH11" s="125" t="s">
        <v>143</v>
      </c>
      <c r="BI11" s="124" t="s">
        <v>142</v>
      </c>
      <c r="BJ11" s="124" t="s">
        <v>141</v>
      </c>
      <c r="BK11" s="124" t="s">
        <v>140</v>
      </c>
      <c r="BL11" s="123" t="s">
        <v>139</v>
      </c>
      <c r="BM11" s="124" t="s">
        <v>146</v>
      </c>
      <c r="BN11" s="124" t="s">
        <v>145</v>
      </c>
      <c r="BO11" s="126" t="s">
        <v>144</v>
      </c>
      <c r="BP11" s="125" t="s">
        <v>143</v>
      </c>
      <c r="BQ11" s="124" t="s">
        <v>142</v>
      </c>
      <c r="BR11" s="124" t="s">
        <v>141</v>
      </c>
      <c r="BS11" s="124" t="s">
        <v>140</v>
      </c>
      <c r="BT11" s="123" t="s">
        <v>139</v>
      </c>
      <c r="BU11" s="124" t="s">
        <v>138</v>
      </c>
      <c r="BV11" s="133" t="s">
        <v>137</v>
      </c>
    </row>
    <row r="12" spans="1:74" ht="17.25" x14ac:dyDescent="0.25">
      <c r="B12" s="121" t="s">
        <v>7</v>
      </c>
      <c r="C12" s="120" t="s">
        <v>7</v>
      </c>
      <c r="D12" s="109" t="s">
        <v>123</v>
      </c>
      <c r="E12" s="109" t="s">
        <v>8</v>
      </c>
      <c r="F12" s="118" t="s">
        <v>9</v>
      </c>
      <c r="G12" s="118" t="s">
        <v>122</v>
      </c>
      <c r="H12" s="109" t="s">
        <v>38</v>
      </c>
      <c r="I12" s="109" t="s">
        <v>11</v>
      </c>
      <c r="J12" s="117" t="s">
        <v>121</v>
      </c>
      <c r="K12" s="116" t="s">
        <v>120</v>
      </c>
      <c r="L12" s="109" t="s">
        <v>101</v>
      </c>
      <c r="M12" s="118" t="s">
        <v>119</v>
      </c>
      <c r="N12" s="109" t="s">
        <v>38</v>
      </c>
      <c r="O12" s="118" t="s">
        <v>10</v>
      </c>
      <c r="Q12" s="118" t="s">
        <v>9</v>
      </c>
      <c r="R12" s="118" t="s">
        <v>136</v>
      </c>
      <c r="S12" s="109" t="s">
        <v>11</v>
      </c>
      <c r="T12" s="109" t="s">
        <v>100</v>
      </c>
      <c r="U12" s="109" t="s">
        <v>7</v>
      </c>
      <c r="V12" s="109" t="s">
        <v>101</v>
      </c>
      <c r="W12" s="109" t="s">
        <v>102</v>
      </c>
      <c r="X12" s="109" t="s">
        <v>102</v>
      </c>
      <c r="Y12" s="109" t="s">
        <v>7</v>
      </c>
      <c r="Z12" s="109" t="s">
        <v>7</v>
      </c>
      <c r="AA12" s="109" t="s">
        <v>7</v>
      </c>
      <c r="AB12" s="109" t="s">
        <v>38</v>
      </c>
      <c r="AC12" s="118" t="s">
        <v>10</v>
      </c>
      <c r="AD12" s="109" t="s">
        <v>38</v>
      </c>
      <c r="AE12" s="108" t="s">
        <v>38</v>
      </c>
      <c r="AF12" s="119" t="s">
        <v>10</v>
      </c>
      <c r="AG12" s="119" t="s">
        <v>10</v>
      </c>
      <c r="AH12" s="119" t="s">
        <v>10</v>
      </c>
      <c r="AI12" s="119" t="s">
        <v>10</v>
      </c>
      <c r="AJ12" s="119" t="s">
        <v>10</v>
      </c>
      <c r="AM12" s="109" t="s">
        <v>38</v>
      </c>
      <c r="AN12" s="118" t="s">
        <v>10</v>
      </c>
      <c r="AO12" s="109" t="s">
        <v>38</v>
      </c>
      <c r="AP12" s="108" t="s">
        <v>38</v>
      </c>
      <c r="AQ12" s="119" t="s">
        <v>10</v>
      </c>
      <c r="AR12" s="119" t="s">
        <v>10</v>
      </c>
      <c r="AS12" s="119" t="s">
        <v>10</v>
      </c>
      <c r="AT12" s="119" t="s">
        <v>10</v>
      </c>
      <c r="AU12" s="119" t="s">
        <v>10</v>
      </c>
      <c r="AW12" s="118" t="s">
        <v>9</v>
      </c>
      <c r="AX12" s="118" t="s">
        <v>122</v>
      </c>
      <c r="AY12" s="109" t="s">
        <v>133</v>
      </c>
      <c r="AZ12" s="109" t="s">
        <v>11</v>
      </c>
      <c r="BA12" s="117" t="s">
        <v>121</v>
      </c>
      <c r="BB12" s="116" t="s">
        <v>120</v>
      </c>
      <c r="BC12" s="109" t="s">
        <v>101</v>
      </c>
      <c r="BD12" s="114" t="s">
        <v>7</v>
      </c>
      <c r="BE12" s="115" t="s">
        <v>7</v>
      </c>
      <c r="BF12" s="113" t="s">
        <v>135</v>
      </c>
      <c r="BG12" s="113" t="s">
        <v>7</v>
      </c>
      <c r="BH12" s="113" t="s">
        <v>10</v>
      </c>
      <c r="BI12" s="112" t="s">
        <v>10</v>
      </c>
      <c r="BJ12" s="111" t="s">
        <v>10</v>
      </c>
      <c r="BK12" s="111" t="s">
        <v>10</v>
      </c>
      <c r="BL12" s="110" t="s">
        <v>134</v>
      </c>
      <c r="BM12" s="114" t="s">
        <v>133</v>
      </c>
      <c r="BN12" s="114" t="s">
        <v>7</v>
      </c>
      <c r="BO12" s="113" t="s">
        <v>7</v>
      </c>
      <c r="BP12" s="113" t="s">
        <v>10</v>
      </c>
      <c r="BQ12" s="112" t="s">
        <v>10</v>
      </c>
      <c r="BR12" s="111" t="s">
        <v>10</v>
      </c>
      <c r="BS12" s="111" t="s">
        <v>10</v>
      </c>
      <c r="BT12" s="110" t="s">
        <v>134</v>
      </c>
      <c r="BU12" s="114" t="s">
        <v>133</v>
      </c>
      <c r="BV12" s="108" t="s">
        <v>38</v>
      </c>
    </row>
    <row r="13" spans="1:74" s="100" customFormat="1" x14ac:dyDescent="0.25">
      <c r="B13" s="107">
        <v>3</v>
      </c>
      <c r="C13" s="106">
        <v>45239.602037037002</v>
      </c>
      <c r="D13" s="103">
        <v>182.34438</v>
      </c>
      <c r="E13" s="103">
        <v>0.96491198895027697</v>
      </c>
      <c r="F13" s="102">
        <v>20.00879420531</v>
      </c>
      <c r="G13" s="102">
        <v>37.018314523026</v>
      </c>
      <c r="H13" s="103">
        <f t="shared" ref="H13:H45" si="0">BV13</f>
        <v>18.267290142724221</v>
      </c>
      <c r="I13" s="103">
        <v>90.499352439849801</v>
      </c>
      <c r="J13" s="105">
        <v>1.55482797827656E-5</v>
      </c>
      <c r="K13" s="104">
        <v>364829</v>
      </c>
      <c r="L13" s="103">
        <v>2000.7690941722501</v>
      </c>
      <c r="M13" s="102">
        <v>109.50713175844101</v>
      </c>
      <c r="N13" s="103">
        <v>20.007690941722501</v>
      </c>
      <c r="O13" s="102">
        <f t="shared" ref="O13:O45" si="1">(N13-H13)/H13*100</f>
        <v>9.5274164115221751</v>
      </c>
      <c r="Q13" s="97">
        <f t="shared" ref="Q13:Q45" si="2">F13</f>
        <v>20.00879420531</v>
      </c>
      <c r="R13" s="97">
        <f t="shared" ref="R13:R45" si="3">G13+E13</f>
        <v>37.983226511976277</v>
      </c>
      <c r="S13" s="67">
        <v>90.500578370644007</v>
      </c>
      <c r="T13" s="67">
        <v>230.756085677377</v>
      </c>
      <c r="U13" s="67">
        <v>1.26872012262</v>
      </c>
      <c r="V13" s="67">
        <v>92.65</v>
      </c>
      <c r="W13" s="67">
        <v>44.7</v>
      </c>
      <c r="X13" s="67">
        <f t="shared" ref="X13:X45" si="4">W13/2/1000</f>
        <v>2.2350000000000002E-2</v>
      </c>
      <c r="Y13" s="67">
        <v>1</v>
      </c>
      <c r="Z13" s="96">
        <f t="shared" ref="Z13:Z45" si="5">1/(1+Y13*0.5*(2*PI()*V13/T13*X13)^2)</f>
        <v>0.99841299045237342</v>
      </c>
      <c r="AA13" s="96">
        <f t="shared" ref="AA13:AA45" si="6">1/(1-0.0077/100*((G13)-2.06843))</f>
        <v>1.0026984028912203</v>
      </c>
      <c r="AB13" s="100">
        <f t="shared" ref="AB13:AB45" si="7">N13*AA13*Z13</f>
        <v>20.029841675497153</v>
      </c>
      <c r="AC13" s="101">
        <f t="shared" ref="AC13:AC45" si="8">(AB13-H13)/H13*100-$AC$5</f>
        <v>9.6486754138240265</v>
      </c>
      <c r="AD13" s="165">
        <f t="shared" ref="AD13:AD45" si="9">H13</f>
        <v>18.267290142724221</v>
      </c>
      <c r="AE13" s="209"/>
      <c r="AF13" s="209"/>
      <c r="AG13" s="200">
        <f>STDEV(AC13:AC15)</f>
        <v>1.4537257054240922</v>
      </c>
      <c r="AH13" s="200"/>
      <c r="AI13" s="200"/>
      <c r="AJ13" s="200"/>
      <c r="AM13" s="101">
        <f t="shared" ref="AM13:AM45" si="10">N13*AA13</f>
        <v>20.061679752806285</v>
      </c>
      <c r="AN13" s="101">
        <f t="shared" ref="AN13:AN45" si="11">(AM13-H13)/H13*100</f>
        <v>9.822965508634903</v>
      </c>
      <c r="AO13" s="101">
        <f t="shared" ref="AO13:AO45" si="12">H13</f>
        <v>18.267290142724221</v>
      </c>
      <c r="AP13" s="209"/>
      <c r="AQ13" s="209"/>
      <c r="AR13" s="200">
        <f>STDEV(AN13:AN15)</f>
        <v>1.4560400206634443</v>
      </c>
      <c r="AS13" s="200"/>
      <c r="AT13" s="200"/>
      <c r="AU13" s="200"/>
      <c r="AW13" s="151">
        <v>20.269558789167</v>
      </c>
      <c r="AX13" s="151">
        <v>34.934429555904202</v>
      </c>
      <c r="AY13" s="152">
        <v>787.63697290060202</v>
      </c>
      <c r="AZ13" s="152">
        <v>83.508555725508003</v>
      </c>
      <c r="BA13" s="164">
        <v>1.5461841805270402E-5</v>
      </c>
      <c r="BB13" s="163">
        <v>231341</v>
      </c>
      <c r="BC13" s="152">
        <v>1268.7037571434901</v>
      </c>
      <c r="BD13" s="161">
        <f t="shared" ref="BD13:BD45" si="13">4*(BF13/3600*AZ13)/(BA13*PI()*0.1524)</f>
        <v>9872303.3667274248</v>
      </c>
      <c r="BE13" s="160">
        <v>5798.78</v>
      </c>
      <c r="BF13" s="159">
        <f t="shared" ref="BF13:BF45" si="14">BC13/BE13*3600</f>
        <v>787.63697290060395</v>
      </c>
      <c r="BG13" s="156">
        <f t="shared" ref="BG13:BG45" si="15">LOG(BD13/10^6)</f>
        <v>0.9944184923609054</v>
      </c>
      <c r="BH13" s="154">
        <f t="shared" ref="BH13:BH45" si="16">$BL$1+$BL$2*BG13+$BL$3*BG13^2+$BL$4*BG13^3+$BL$5*BG13^4</f>
        <v>4.2034850121743378E-3</v>
      </c>
      <c r="BI13" s="154">
        <f t="shared" ref="BI13:BI45" si="17">$BL$6/(AZ13*(BF13/3600)^2)+$BL$7/(AZ13*BF13/3600)</f>
        <v>-9.380202742964352E-4</v>
      </c>
      <c r="BJ13" s="155">
        <f t="shared" ref="BJ13:BJ45" si="18">$BL$8*AZ13*BF13/3600/(AX13+E13)</f>
        <v>-2.1790586046333861E-2</v>
      </c>
      <c r="BK13" s="154">
        <f t="shared" ref="BK13:BK45" si="19">BH13+BI13+BJ13</f>
        <v>-1.8525121308455957E-2</v>
      </c>
      <c r="BL13" s="158">
        <f t="shared" ref="BL13:BL45" si="20">BE13-BE13/100*BK13</f>
        <v>5799.8542310294106</v>
      </c>
      <c r="BM13" s="151">
        <f t="shared" ref="BM13:BM45" si="21">BC13/BL13*3600</f>
        <v>787.49108922103255</v>
      </c>
      <c r="BN13" s="157">
        <f t="shared" ref="BN13:BN45" si="22">4*(BM13/3600*AZ13)/(BA13*PI()*0.1524)</f>
        <v>9870474.8492878713</v>
      </c>
      <c r="BO13" s="156">
        <f t="shared" ref="BO13:BO45" si="23">LOG(BN13/10^6)</f>
        <v>0.99433804623243827</v>
      </c>
      <c r="BP13" s="154">
        <f t="shared" ref="BP13:BP45" si="24">$BL$1+$BL$2*BO13+$BL$3*BO13^2+$BL$4*BO13^3+$BL$5*BO13^4</f>
        <v>4.2011586673249834E-3</v>
      </c>
      <c r="BQ13" s="154">
        <f t="shared" ref="BQ13:BQ45" si="25">$BL$6/(AZ13*(BM13/3600)^2)+$BL$7/(AZ13*BM13/3600)</f>
        <v>-9.3819949507223149E-4</v>
      </c>
      <c r="BR13" s="155">
        <f t="shared" ref="BR13:BR45" si="26">$BL$8*AZ13*BM13/3600/(AX13+E13)</f>
        <v>-2.1786550061506042E-2</v>
      </c>
      <c r="BS13" s="154">
        <f t="shared" ref="BS13:BS45" si="27">BP13+BQ13+BR13</f>
        <v>-1.8523590889253289E-2</v>
      </c>
      <c r="BT13" s="151">
        <f t="shared" ref="BT13:BT45" si="28">BE13-BE13/100*BS13</f>
        <v>5799.8541422837679</v>
      </c>
      <c r="BU13" s="153">
        <f t="shared" ref="BU13:BU45" si="29">BC13/BT13*3600</f>
        <v>787.49110127071526</v>
      </c>
      <c r="BV13" s="156">
        <f t="shared" ref="BV13:BV45" si="30">BU13/3600*AZ13</f>
        <v>18.267290142724221</v>
      </c>
    </row>
    <row r="14" spans="1:74" s="100" customFormat="1" x14ac:dyDescent="0.25">
      <c r="B14" s="107">
        <v>4</v>
      </c>
      <c r="C14" s="106">
        <v>45239.604791666701</v>
      </c>
      <c r="D14" s="103">
        <v>181.76701</v>
      </c>
      <c r="E14" s="103">
        <v>0.96483752222222396</v>
      </c>
      <c r="F14" s="102">
        <v>20.040154082129</v>
      </c>
      <c r="G14" s="102">
        <v>37.030971853425498</v>
      </c>
      <c r="H14" s="103">
        <f t="shared" si="0"/>
        <v>18.258191224110902</v>
      </c>
      <c r="I14" s="103">
        <v>90.517765843396901</v>
      </c>
      <c r="J14" s="105">
        <v>1.5550145650726599E-5</v>
      </c>
      <c r="K14" s="104">
        <v>365002</v>
      </c>
      <c r="L14" s="103">
        <v>2008.0761629956901</v>
      </c>
      <c r="M14" s="102">
        <v>109.96184447332</v>
      </c>
      <c r="N14" s="103">
        <v>20.0807616299569</v>
      </c>
      <c r="O14" s="102">
        <f t="shared" si="1"/>
        <v>9.9822067995388135</v>
      </c>
      <c r="Q14" s="97">
        <f t="shared" si="2"/>
        <v>20.040154082129</v>
      </c>
      <c r="R14" s="97">
        <f t="shared" si="3"/>
        <v>37.995809375647724</v>
      </c>
      <c r="S14" s="96">
        <v>90.518780447826003</v>
      </c>
      <c r="T14" s="96">
        <v>230.77179892485799</v>
      </c>
      <c r="U14" s="96">
        <v>1.2687278258750001</v>
      </c>
      <c r="V14" s="67">
        <v>92.65</v>
      </c>
      <c r="W14" s="67">
        <v>44.7</v>
      </c>
      <c r="X14" s="67">
        <f t="shared" si="4"/>
        <v>2.2350000000000002E-2</v>
      </c>
      <c r="Y14" s="67">
        <v>1</v>
      </c>
      <c r="Z14" s="96">
        <f t="shared" si="5"/>
        <v>0.99841320622099194</v>
      </c>
      <c r="AA14" s="96">
        <f t="shared" si="6"/>
        <v>1.00269938277352</v>
      </c>
      <c r="AB14" s="100">
        <f t="shared" si="7"/>
        <v>20.103017251140521</v>
      </c>
      <c r="AC14" s="101">
        <f t="shared" si="8"/>
        <v>10.104100698613722</v>
      </c>
      <c r="AD14" s="165">
        <f t="shared" si="9"/>
        <v>18.258191224110902</v>
      </c>
      <c r="AE14" s="209"/>
      <c r="AF14" s="209"/>
      <c r="AG14" s="200"/>
      <c r="AH14" s="200"/>
      <c r="AI14" s="200"/>
      <c r="AJ14" s="200"/>
      <c r="AM14" s="101">
        <f t="shared" si="10"/>
        <v>20.134967291979965</v>
      </c>
      <c r="AN14" s="101">
        <f t="shared" si="11"/>
        <v>10.279090873967194</v>
      </c>
      <c r="AO14" s="101">
        <f t="shared" si="12"/>
        <v>18.258191224110902</v>
      </c>
      <c r="AP14" s="209"/>
      <c r="AQ14" s="209"/>
      <c r="AR14" s="200"/>
      <c r="AS14" s="200"/>
      <c r="AT14" s="200"/>
      <c r="AU14" s="200"/>
      <c r="AW14" s="151">
        <v>20.414147233720001</v>
      </c>
      <c r="AX14" s="151">
        <v>34.946180295710498</v>
      </c>
      <c r="AY14" s="152">
        <v>787.78558519636999</v>
      </c>
      <c r="AZ14" s="152">
        <v>83.451209548483504</v>
      </c>
      <c r="BA14" s="164">
        <v>1.54684030148278E-5</v>
      </c>
      <c r="BB14" s="163">
        <v>230652</v>
      </c>
      <c r="BC14" s="152">
        <v>1268.94313770139</v>
      </c>
      <c r="BD14" s="161">
        <f t="shared" si="13"/>
        <v>9863199.9600630458</v>
      </c>
      <c r="BE14" s="160">
        <v>5798.78</v>
      </c>
      <c r="BF14" s="159">
        <f t="shared" si="14"/>
        <v>787.78558519636965</v>
      </c>
      <c r="BG14" s="156">
        <f t="shared" si="15"/>
        <v>0.99401783781505515</v>
      </c>
      <c r="BH14" s="154">
        <f t="shared" si="16"/>
        <v>4.1919503480254416E-3</v>
      </c>
      <c r="BI14" s="154">
        <f t="shared" si="17"/>
        <v>-9.3848223701652482E-4</v>
      </c>
      <c r="BJ14" s="155">
        <f t="shared" si="18"/>
        <v>-2.1772649317726041E-2</v>
      </c>
      <c r="BK14" s="154">
        <f t="shared" si="19"/>
        <v>-1.8519181206717125E-2</v>
      </c>
      <c r="BL14" s="158">
        <f t="shared" si="20"/>
        <v>5799.8538865759783</v>
      </c>
      <c r="BM14" s="151">
        <f t="shared" si="21"/>
        <v>787.63972076922437</v>
      </c>
      <c r="BN14" s="157">
        <f t="shared" si="22"/>
        <v>9861373.7143954076</v>
      </c>
      <c r="BO14" s="156">
        <f t="shared" si="23"/>
        <v>0.99393741747934483</v>
      </c>
      <c r="BP14" s="154">
        <f t="shared" si="24"/>
        <v>4.1896506014120899E-3</v>
      </c>
      <c r="BQ14" s="154">
        <f t="shared" si="25"/>
        <v>-9.3866148756393294E-4</v>
      </c>
      <c r="BR14" s="155">
        <f t="shared" si="26"/>
        <v>-2.1768617947922071E-2</v>
      </c>
      <c r="BS14" s="154">
        <f t="shared" si="27"/>
        <v>-1.8517628834073915E-2</v>
      </c>
      <c r="BT14" s="151">
        <f t="shared" si="28"/>
        <v>5799.8537965573041</v>
      </c>
      <c r="BU14" s="153">
        <f t="shared" si="29"/>
        <v>787.63973299406416</v>
      </c>
      <c r="BV14" s="156">
        <f t="shared" si="30"/>
        <v>18.258191224110902</v>
      </c>
    </row>
    <row r="15" spans="1:74" s="100" customFormat="1" x14ac:dyDescent="0.25">
      <c r="B15" s="107">
        <v>5</v>
      </c>
      <c r="C15" s="106">
        <v>45239.607638888898</v>
      </c>
      <c r="D15" s="103">
        <v>181.77419</v>
      </c>
      <c r="E15" s="103">
        <v>0.96474515469613098</v>
      </c>
      <c r="F15" s="102">
        <v>20.046686483277998</v>
      </c>
      <c r="G15" s="102">
        <v>37.037320582900897</v>
      </c>
      <c r="H15" s="103">
        <f t="shared" si="0"/>
        <v>18.252910634203666</v>
      </c>
      <c r="I15" s="103">
        <v>90.534107106772595</v>
      </c>
      <c r="J15" s="105">
        <v>1.5550717066494698E-5</v>
      </c>
      <c r="K15" s="104">
        <v>355914</v>
      </c>
      <c r="L15" s="103">
        <v>1958.0007480710001</v>
      </c>
      <c r="M15" s="102">
        <v>107.250746609852</v>
      </c>
      <c r="N15" s="103">
        <v>19.580007480710002</v>
      </c>
      <c r="O15" s="102">
        <f t="shared" si="1"/>
        <v>7.2706039770967985</v>
      </c>
      <c r="Q15" s="97">
        <f t="shared" si="2"/>
        <v>20.046686483277998</v>
      </c>
      <c r="R15" s="97">
        <f t="shared" si="3"/>
        <v>38.002065737597029</v>
      </c>
      <c r="S15" s="96">
        <v>90.534798153254997</v>
      </c>
      <c r="T15" s="96">
        <v>230.77058739841601</v>
      </c>
      <c r="U15" s="96">
        <v>1.2687301011250001</v>
      </c>
      <c r="V15" s="67">
        <v>92.65</v>
      </c>
      <c r="W15" s="67">
        <v>44.7</v>
      </c>
      <c r="X15" s="67">
        <f t="shared" si="4"/>
        <v>2.2350000000000002E-2</v>
      </c>
      <c r="Y15" s="67">
        <v>1</v>
      </c>
      <c r="Z15" s="96">
        <f t="shared" si="5"/>
        <v>0.99841318958631486</v>
      </c>
      <c r="AA15" s="96">
        <f t="shared" si="6"/>
        <v>1.0026998742686908</v>
      </c>
      <c r="AB15" s="100">
        <f t="shared" si="7"/>
        <v>19.601717394872583</v>
      </c>
      <c r="AC15" s="101">
        <f t="shared" si="8"/>
        <v>7.3895434415891081</v>
      </c>
      <c r="AD15" s="165">
        <f t="shared" si="9"/>
        <v>18.252910634203666</v>
      </c>
      <c r="AE15" s="209"/>
      <c r="AF15" s="209"/>
      <c r="AG15" s="200"/>
      <c r="AH15" s="200"/>
      <c r="AI15" s="200"/>
      <c r="AJ15" s="200"/>
      <c r="AM15" s="101">
        <f t="shared" si="10"/>
        <v>19.632871039087945</v>
      </c>
      <c r="AN15" s="101">
        <f t="shared" si="11"/>
        <v>7.5602211205614891</v>
      </c>
      <c r="AO15" s="101">
        <f t="shared" si="12"/>
        <v>18.252910634203666</v>
      </c>
      <c r="AP15" s="209"/>
      <c r="AQ15" s="209"/>
      <c r="AR15" s="200"/>
      <c r="AS15" s="200"/>
      <c r="AT15" s="200"/>
      <c r="AU15" s="200"/>
      <c r="AW15" s="151">
        <v>20.491655454465999</v>
      </c>
      <c r="AX15" s="151">
        <v>34.951302363268702</v>
      </c>
      <c r="AY15" s="152">
        <v>787.88425084672997</v>
      </c>
      <c r="AZ15" s="152">
        <v>83.416624258051002</v>
      </c>
      <c r="BA15" s="164">
        <v>1.54718662882895E-5</v>
      </c>
      <c r="BB15" s="163">
        <v>230690</v>
      </c>
      <c r="BC15" s="152">
        <v>1269.1020655902801</v>
      </c>
      <c r="BD15" s="161">
        <f t="shared" si="13"/>
        <v>9858139.9075519256</v>
      </c>
      <c r="BE15" s="160">
        <v>5798.78</v>
      </c>
      <c r="BF15" s="159">
        <f t="shared" si="14"/>
        <v>787.88425084673133</v>
      </c>
      <c r="BG15" s="156">
        <f t="shared" si="15"/>
        <v>0.99379497740631062</v>
      </c>
      <c r="BH15" s="154">
        <f t="shared" si="16"/>
        <v>4.1855900274548469E-3</v>
      </c>
      <c r="BI15" s="154">
        <f t="shared" si="17"/>
        <v>-9.3875008010277415E-4</v>
      </c>
      <c r="BJ15" s="155">
        <f t="shared" si="18"/>
        <v>-2.1763303520605487E-2</v>
      </c>
      <c r="BK15" s="154">
        <f t="shared" si="19"/>
        <v>-1.8516463573253414E-2</v>
      </c>
      <c r="BL15" s="158">
        <f t="shared" si="20"/>
        <v>5799.8537289863925</v>
      </c>
      <c r="BM15" s="151">
        <f t="shared" si="21"/>
        <v>787.73838955477686</v>
      </c>
      <c r="BN15" s="157">
        <f t="shared" si="22"/>
        <v>9856314.8665999882</v>
      </c>
      <c r="BO15" s="156">
        <f t="shared" si="23"/>
        <v>0.99371456887094722</v>
      </c>
      <c r="BP15" s="154">
        <f t="shared" si="24"/>
        <v>4.1833049824586271E-3</v>
      </c>
      <c r="BQ15" s="154">
        <f t="shared" si="25"/>
        <v>-9.389293548348628E-4</v>
      </c>
      <c r="BR15" s="155">
        <f t="shared" si="26"/>
        <v>-2.1759274472473986E-2</v>
      </c>
      <c r="BS15" s="154">
        <f t="shared" si="27"/>
        <v>-1.8514898844850219E-2</v>
      </c>
      <c r="BT15" s="151">
        <f t="shared" si="28"/>
        <v>5799.8536382512348</v>
      </c>
      <c r="BU15" s="153">
        <f t="shared" si="29"/>
        <v>787.73840187846145</v>
      </c>
      <c r="BV15" s="156">
        <f t="shared" si="30"/>
        <v>18.252910634203666</v>
      </c>
    </row>
    <row r="16" spans="1:74" s="100" customFormat="1" x14ac:dyDescent="0.25">
      <c r="B16" s="107">
        <v>7</v>
      </c>
      <c r="C16" s="106">
        <v>45239.621331018498</v>
      </c>
      <c r="D16" s="103">
        <v>181.76879</v>
      </c>
      <c r="E16" s="103">
        <v>0.96479128176795503</v>
      </c>
      <c r="F16" s="102">
        <v>19.936888458942999</v>
      </c>
      <c r="G16" s="102">
        <v>36.690519117418802</v>
      </c>
      <c r="H16" s="103">
        <f t="shared" si="0"/>
        <v>14.707119371681552</v>
      </c>
      <c r="I16" s="103">
        <v>89.455086912933695</v>
      </c>
      <c r="J16" s="105">
        <v>1.55294149359768E-5</v>
      </c>
      <c r="K16" s="104">
        <v>269667</v>
      </c>
      <c r="L16" s="103">
        <v>1483.57151962116</v>
      </c>
      <c r="M16" s="102">
        <v>100.86048144316101</v>
      </c>
      <c r="N16" s="103">
        <v>14.8357151962116</v>
      </c>
      <c r="O16" s="102">
        <f t="shared" si="1"/>
        <v>0.87437805650546885</v>
      </c>
      <c r="Q16" s="97">
        <f t="shared" si="2"/>
        <v>19.936888458942999</v>
      </c>
      <c r="R16" s="97">
        <f t="shared" si="3"/>
        <v>37.65531039918676</v>
      </c>
      <c r="S16" s="96">
        <v>89.456467785466003</v>
      </c>
      <c r="T16" s="96">
        <v>231.08863917827</v>
      </c>
      <c r="U16" s="96">
        <v>1.268652572078</v>
      </c>
      <c r="V16" s="67">
        <v>92.65</v>
      </c>
      <c r="W16" s="67">
        <v>44.7</v>
      </c>
      <c r="X16" s="67">
        <f t="shared" si="4"/>
        <v>2.2350000000000002E-2</v>
      </c>
      <c r="Y16" s="67">
        <v>1</v>
      </c>
      <c r="Z16" s="96">
        <f t="shared" si="5"/>
        <v>0.99841754758917756</v>
      </c>
      <c r="AA16" s="96">
        <f t="shared" si="6"/>
        <v>1.0026730268867228</v>
      </c>
      <c r="AB16" s="100">
        <f t="shared" si="7"/>
        <v>14.851831894383206</v>
      </c>
      <c r="AC16" s="101">
        <f t="shared" si="8"/>
        <v>0.98396238613727083</v>
      </c>
      <c r="AD16" s="165">
        <f t="shared" si="9"/>
        <v>14.707119371681552</v>
      </c>
      <c r="AE16" s="209"/>
      <c r="AF16" s="209"/>
      <c r="AG16" s="200">
        <f>STDEV(AC16:AC18)</f>
        <v>0.21621896448321992</v>
      </c>
      <c r="AH16" s="200"/>
      <c r="AI16" s="200"/>
      <c r="AJ16" s="200"/>
      <c r="AM16" s="101">
        <f t="shared" si="10"/>
        <v>14.875371461814835</v>
      </c>
      <c r="AN16" s="101">
        <f t="shared" si="11"/>
        <v>1.1440179812319402</v>
      </c>
      <c r="AO16" s="101">
        <f t="shared" si="12"/>
        <v>14.707119371681552</v>
      </c>
      <c r="AP16" s="209"/>
      <c r="AQ16" s="209"/>
      <c r="AR16" s="200">
        <f>STDEV(AN16:AN18)</f>
        <v>0.21655062762823676</v>
      </c>
      <c r="AS16" s="200"/>
      <c r="AT16" s="200"/>
      <c r="AU16" s="200"/>
      <c r="AW16" s="151">
        <v>20.367880555707</v>
      </c>
      <c r="AX16" s="151">
        <v>35.3728929294561</v>
      </c>
      <c r="AY16" s="152">
        <v>624.14759647278004</v>
      </c>
      <c r="AZ16" s="152">
        <v>84.840388580645893</v>
      </c>
      <c r="BA16" s="164">
        <v>1.5485469001774102E-5</v>
      </c>
      <c r="BB16" s="163">
        <v>182743</v>
      </c>
      <c r="BC16" s="152">
        <v>1005.3596109651201</v>
      </c>
      <c r="BD16" s="161">
        <f t="shared" si="13"/>
        <v>7935754.7748077344</v>
      </c>
      <c r="BE16" s="160">
        <v>5798.78</v>
      </c>
      <c r="BF16" s="159">
        <f t="shared" si="14"/>
        <v>624.14759647278083</v>
      </c>
      <c r="BG16" s="156">
        <f t="shared" si="15"/>
        <v>0.89958823908648244</v>
      </c>
      <c r="BH16" s="154">
        <f t="shared" si="16"/>
        <v>4.7235571600825615E-3</v>
      </c>
      <c r="BI16" s="154">
        <f t="shared" si="17"/>
        <v>-1.174715997111298E-3</v>
      </c>
      <c r="BJ16" s="155">
        <f t="shared" si="18"/>
        <v>-1.7331295672966308E-2</v>
      </c>
      <c r="BK16" s="154">
        <f t="shared" si="19"/>
        <v>-1.3782454509995044E-2</v>
      </c>
      <c r="BL16" s="158">
        <f t="shared" si="20"/>
        <v>5799.5792142156342</v>
      </c>
      <c r="BM16" s="151">
        <f t="shared" si="21"/>
        <v>624.06158546864935</v>
      </c>
      <c r="BN16" s="157">
        <f t="shared" si="22"/>
        <v>7934661.1837395644</v>
      </c>
      <c r="BO16" s="156">
        <f t="shared" si="23"/>
        <v>0.89952838677153901</v>
      </c>
      <c r="BP16" s="154">
        <f t="shared" si="24"/>
        <v>4.7257358504359248E-3</v>
      </c>
      <c r="BQ16" s="154">
        <f t="shared" si="25"/>
        <v>-1.1748842588858079E-3</v>
      </c>
      <c r="BR16" s="155">
        <f t="shared" si="26"/>
        <v>-1.7328907324197274E-2</v>
      </c>
      <c r="BS16" s="154">
        <f t="shared" si="27"/>
        <v>-1.3778055732647157E-2</v>
      </c>
      <c r="BT16" s="151">
        <f t="shared" si="28"/>
        <v>5799.5789591402136</v>
      </c>
      <c r="BU16" s="153">
        <f t="shared" si="29"/>
        <v>624.06161291594719</v>
      </c>
      <c r="BV16" s="156">
        <f t="shared" si="30"/>
        <v>14.707119371681552</v>
      </c>
    </row>
    <row r="17" spans="2:74" s="100" customFormat="1" x14ac:dyDescent="0.25">
      <c r="B17" s="107">
        <v>8</v>
      </c>
      <c r="C17" s="106">
        <v>45239.624317129601</v>
      </c>
      <c r="D17" s="103">
        <v>182.24805000000001</v>
      </c>
      <c r="E17" s="103">
        <v>0.96482723204419796</v>
      </c>
      <c r="F17" s="102">
        <v>19.900491288207999</v>
      </c>
      <c r="G17" s="102">
        <v>36.674868872333199</v>
      </c>
      <c r="H17" s="103">
        <f t="shared" si="0"/>
        <v>14.705845365787061</v>
      </c>
      <c r="I17" s="103">
        <v>89.430377606609696</v>
      </c>
      <c r="J17" s="105">
        <v>1.5527202929955099E-5</v>
      </c>
      <c r="K17" s="104">
        <v>269225</v>
      </c>
      <c r="L17" s="103">
        <v>1477.2448868451499</v>
      </c>
      <c r="M17" s="102">
        <v>100.4390583417</v>
      </c>
      <c r="N17" s="103">
        <v>14.7724488684515</v>
      </c>
      <c r="O17" s="102">
        <f t="shared" si="1"/>
        <v>0.45290495723143404</v>
      </c>
      <c r="Q17" s="97">
        <f t="shared" si="2"/>
        <v>19.900491288207999</v>
      </c>
      <c r="R17" s="97">
        <f t="shared" si="3"/>
        <v>37.6396961043774</v>
      </c>
      <c r="S17" s="96">
        <v>89.431728309849007</v>
      </c>
      <c r="T17" s="96">
        <v>231.07189662815199</v>
      </c>
      <c r="U17" s="96">
        <v>1.268644010656</v>
      </c>
      <c r="V17" s="67">
        <v>92.65</v>
      </c>
      <c r="W17" s="67">
        <v>44.7</v>
      </c>
      <c r="X17" s="67">
        <f t="shared" si="4"/>
        <v>2.2350000000000002E-2</v>
      </c>
      <c r="Y17" s="67">
        <v>1</v>
      </c>
      <c r="Z17" s="96">
        <f t="shared" si="5"/>
        <v>0.99841731862740879</v>
      </c>
      <c r="AA17" s="96">
        <f t="shared" si="6"/>
        <v>1.0026718153683418</v>
      </c>
      <c r="AB17" s="100">
        <f t="shared" si="7"/>
        <v>14.788475577458492</v>
      </c>
      <c r="AC17" s="101">
        <f t="shared" si="8"/>
        <v>0.56188685258222959</v>
      </c>
      <c r="AD17" s="165">
        <f t="shared" si="9"/>
        <v>14.705845365787061</v>
      </c>
      <c r="AE17" s="209"/>
      <c r="AF17" s="209"/>
      <c r="AG17" s="200"/>
      <c r="AH17" s="200"/>
      <c r="AI17" s="200"/>
      <c r="AJ17" s="200"/>
      <c r="AM17" s="101">
        <f t="shared" si="10"/>
        <v>14.811918124366272</v>
      </c>
      <c r="AN17" s="101">
        <f t="shared" si="11"/>
        <v>0.7212965724907453</v>
      </c>
      <c r="AO17" s="101">
        <f t="shared" si="12"/>
        <v>14.705845365787061</v>
      </c>
      <c r="AP17" s="209"/>
      <c r="AQ17" s="209"/>
      <c r="AR17" s="200"/>
      <c r="AS17" s="200"/>
      <c r="AT17" s="200"/>
      <c r="AU17" s="200"/>
      <c r="AW17" s="151">
        <v>20.292581927328001</v>
      </c>
      <c r="AX17" s="151">
        <v>35.358308481599103</v>
      </c>
      <c r="AY17" s="152">
        <v>624.06301874083204</v>
      </c>
      <c r="AZ17" s="152">
        <v>84.844543299054905</v>
      </c>
      <c r="BA17" s="164">
        <v>1.54816948368898E-5</v>
      </c>
      <c r="BB17" s="163">
        <v>183200</v>
      </c>
      <c r="BC17" s="152">
        <v>1005.22337550388</v>
      </c>
      <c r="BD17" s="161">
        <f t="shared" si="13"/>
        <v>7937002.4063068116</v>
      </c>
      <c r="BE17" s="160">
        <v>5798.78</v>
      </c>
      <c r="BF17" s="159">
        <f t="shared" si="14"/>
        <v>624.06301874083317</v>
      </c>
      <c r="BG17" s="156">
        <f t="shared" si="15"/>
        <v>0.89965651197321928</v>
      </c>
      <c r="BH17" s="154">
        <f t="shared" si="16"/>
        <v>4.7210744853979775E-3</v>
      </c>
      <c r="BI17" s="154">
        <f t="shared" si="17"/>
        <v>-1.1748239223082543E-3</v>
      </c>
      <c r="BJ17" s="155">
        <f t="shared" si="18"/>
        <v>-1.7336736838322292E-2</v>
      </c>
      <c r="BK17" s="154">
        <f t="shared" si="19"/>
        <v>-1.3790486275232569E-2</v>
      </c>
      <c r="BL17" s="158">
        <f t="shared" si="20"/>
        <v>5799.5796799600303</v>
      </c>
      <c r="BM17" s="151">
        <f t="shared" si="21"/>
        <v>623.97696928252356</v>
      </c>
      <c r="BN17" s="157">
        <f t="shared" si="22"/>
        <v>7935908.0060024261</v>
      </c>
      <c r="BO17" s="156">
        <f t="shared" si="23"/>
        <v>0.89959662478157076</v>
      </c>
      <c r="BP17" s="154">
        <f t="shared" si="24"/>
        <v>4.7232520772583636E-3</v>
      </c>
      <c r="BQ17" s="154">
        <f t="shared" si="25"/>
        <v>-1.1749922984343967E-3</v>
      </c>
      <c r="BR17" s="155">
        <f t="shared" si="26"/>
        <v>-1.7334346347668315E-2</v>
      </c>
      <c r="BS17" s="154">
        <f t="shared" si="27"/>
        <v>-1.3786086568844348E-2</v>
      </c>
      <c r="BT17" s="151">
        <f t="shared" si="28"/>
        <v>5799.5794248307366</v>
      </c>
      <c r="BU17" s="153">
        <f t="shared" si="29"/>
        <v>623.97699673189402</v>
      </c>
      <c r="BV17" s="156">
        <f t="shared" si="30"/>
        <v>14.705845365787061</v>
      </c>
    </row>
    <row r="18" spans="2:74" s="100" customFormat="1" x14ac:dyDescent="0.25">
      <c r="B18" s="107">
        <v>9</v>
      </c>
      <c r="C18" s="106">
        <v>45239.626759259299</v>
      </c>
      <c r="D18" s="103">
        <v>181.75483</v>
      </c>
      <c r="E18" s="103">
        <v>0.96488365745856297</v>
      </c>
      <c r="F18" s="102">
        <v>19.907069813124</v>
      </c>
      <c r="G18" s="102">
        <v>36.6721676527456</v>
      </c>
      <c r="H18" s="103">
        <f t="shared" si="0"/>
        <v>14.708072059339365</v>
      </c>
      <c r="I18" s="103">
        <v>89.416572688084003</v>
      </c>
      <c r="J18" s="105">
        <v>1.5527337735511601E-5</v>
      </c>
      <c r="K18" s="104">
        <v>268883</v>
      </c>
      <c r="L18" s="103">
        <v>1479.37196497061</v>
      </c>
      <c r="M18" s="102">
        <v>100.568445247775</v>
      </c>
      <c r="N18" s="103">
        <v>14.7937196497061</v>
      </c>
      <c r="O18" s="102">
        <f t="shared" si="1"/>
        <v>0.58231690748584664</v>
      </c>
      <c r="Q18" s="97">
        <f t="shared" si="2"/>
        <v>19.907069813124</v>
      </c>
      <c r="R18" s="97">
        <f t="shared" si="3"/>
        <v>37.637051310204164</v>
      </c>
      <c r="S18" s="96">
        <v>89.417951332309997</v>
      </c>
      <c r="T18" s="96">
        <v>231.081642620114</v>
      </c>
      <c r="U18" s="96">
        <v>1.2686447202310001</v>
      </c>
      <c r="V18" s="67">
        <v>92.65</v>
      </c>
      <c r="W18" s="67">
        <v>44.7</v>
      </c>
      <c r="X18" s="67">
        <f t="shared" si="4"/>
        <v>2.2350000000000002E-2</v>
      </c>
      <c r="Y18" s="67">
        <v>1</v>
      </c>
      <c r="Z18" s="96">
        <f t="shared" si="5"/>
        <v>0.99841745191419462</v>
      </c>
      <c r="AA18" s="96">
        <f t="shared" si="6"/>
        <v>1.0026716062615497</v>
      </c>
      <c r="AB18" s="100">
        <f t="shared" si="7"/>
        <v>14.809768324001707</v>
      </c>
      <c r="AC18" s="101">
        <f t="shared" si="8"/>
        <v>0.69143164550765812</v>
      </c>
      <c r="AD18" s="165">
        <f t="shared" si="9"/>
        <v>14.708072059339365</v>
      </c>
      <c r="AE18" s="209"/>
      <c r="AF18" s="209"/>
      <c r="AG18" s="200"/>
      <c r="AH18" s="200"/>
      <c r="AI18" s="200"/>
      <c r="AJ18" s="200"/>
      <c r="AM18" s="101">
        <f t="shared" si="10"/>
        <v>14.833242643753866</v>
      </c>
      <c r="AN18" s="101">
        <f t="shared" si="11"/>
        <v>0.8510332551370684</v>
      </c>
      <c r="AO18" s="101">
        <f t="shared" si="12"/>
        <v>14.708072059339365</v>
      </c>
      <c r="AP18" s="209"/>
      <c r="AQ18" s="209"/>
      <c r="AR18" s="200"/>
      <c r="AS18" s="200"/>
      <c r="AT18" s="200"/>
      <c r="AU18" s="200"/>
      <c r="AW18" s="151">
        <v>20.271253340442001</v>
      </c>
      <c r="AX18" s="151">
        <v>35.355518351913801</v>
      </c>
      <c r="AY18" s="152">
        <v>624.11697409477699</v>
      </c>
      <c r="AZ18" s="152">
        <v>84.850060179753498</v>
      </c>
      <c r="BA18" s="164">
        <v>1.5480686696200399E-5</v>
      </c>
      <c r="BB18" s="163">
        <v>182720</v>
      </c>
      <c r="BC18" s="152">
        <v>1005.31028528925</v>
      </c>
      <c r="BD18" s="161">
        <f t="shared" si="13"/>
        <v>7938721.7161788782</v>
      </c>
      <c r="BE18" s="160">
        <v>5798.78</v>
      </c>
      <c r="BF18" s="159">
        <f t="shared" si="14"/>
        <v>624.11697409477517</v>
      </c>
      <c r="BG18" s="156">
        <f t="shared" si="15"/>
        <v>0.89975057845954498</v>
      </c>
      <c r="BH18" s="154">
        <f t="shared" si="16"/>
        <v>4.7176582770130787E-3</v>
      </c>
      <c r="BI18" s="154">
        <f t="shared" si="17"/>
        <v>-1.1746419912531158E-3</v>
      </c>
      <c r="BJ18" s="155">
        <f t="shared" si="18"/>
        <v>-1.7340668202771154E-2</v>
      </c>
      <c r="BK18" s="154">
        <f t="shared" si="19"/>
        <v>-1.379765191701119E-2</v>
      </c>
      <c r="BL18" s="158">
        <f t="shared" si="20"/>
        <v>5799.5800954798333</v>
      </c>
      <c r="BM18" s="151">
        <f t="shared" si="21"/>
        <v>624.03087248713462</v>
      </c>
      <c r="BN18" s="157">
        <f t="shared" si="22"/>
        <v>7937626.5101025403</v>
      </c>
      <c r="BO18" s="156">
        <f t="shared" si="23"/>
        <v>0.89969066015220178</v>
      </c>
      <c r="BP18" s="154">
        <f t="shared" si="24"/>
        <v>4.7198337345900621E-3</v>
      </c>
      <c r="BQ18" s="154">
        <f t="shared" si="25"/>
        <v>-1.1748104282526546E-3</v>
      </c>
      <c r="BR18" s="155">
        <f t="shared" si="26"/>
        <v>-1.7338275927810221E-2</v>
      </c>
      <c r="BS18" s="154">
        <f t="shared" si="27"/>
        <v>-1.3793252621472813E-2</v>
      </c>
      <c r="BT18" s="151">
        <f t="shared" si="28"/>
        <v>5799.5798403743629</v>
      </c>
      <c r="BU18" s="153">
        <f t="shared" si="29"/>
        <v>624.0308999363109</v>
      </c>
      <c r="BV18" s="156">
        <f t="shared" si="30"/>
        <v>14.708072059339365</v>
      </c>
    </row>
    <row r="19" spans="2:74" x14ac:dyDescent="0.25">
      <c r="B19" s="99">
        <v>10</v>
      </c>
      <c r="C19" s="98">
        <v>45239.637523148202</v>
      </c>
      <c r="D19" s="73">
        <v>182.30106000000001</v>
      </c>
      <c r="E19" s="73">
        <v>0.96494321428571395</v>
      </c>
      <c r="F19" s="71">
        <v>19.898437797503998</v>
      </c>
      <c r="G19" s="71">
        <v>36.483061603753598</v>
      </c>
      <c r="H19" s="152">
        <f t="shared" si="0"/>
        <v>12.22895866203398</v>
      </c>
      <c r="I19" s="73">
        <v>88.793546084296196</v>
      </c>
      <c r="J19" s="75">
        <v>1.5517881626832601E-5</v>
      </c>
      <c r="K19" s="74">
        <v>223301</v>
      </c>
      <c r="L19" s="73">
        <v>1224.9023675451999</v>
      </c>
      <c r="M19" s="71">
        <v>100.15764177832099</v>
      </c>
      <c r="N19" s="73">
        <v>12.249023675451999</v>
      </c>
      <c r="O19" s="151">
        <f t="shared" si="1"/>
        <v>0.16407785791535295</v>
      </c>
      <c r="Q19" s="97">
        <f t="shared" si="2"/>
        <v>19.898437797503998</v>
      </c>
      <c r="R19" s="97">
        <f t="shared" si="3"/>
        <v>37.448004818039308</v>
      </c>
      <c r="S19" s="67">
        <v>88.794966527753999</v>
      </c>
      <c r="T19" s="67">
        <v>231.30510819683701</v>
      </c>
      <c r="U19" s="67">
        <v>1.2686157874920001</v>
      </c>
      <c r="V19" s="67">
        <v>92.65</v>
      </c>
      <c r="W19" s="67">
        <v>44.7</v>
      </c>
      <c r="X19" s="67">
        <f t="shared" si="4"/>
        <v>2.2350000000000002E-2</v>
      </c>
      <c r="Y19" s="67">
        <v>1</v>
      </c>
      <c r="Z19" s="96">
        <f t="shared" si="5"/>
        <v>0.99842050343244781</v>
      </c>
      <c r="AA19" s="96">
        <f t="shared" si="6"/>
        <v>1.0026569674021724</v>
      </c>
      <c r="AB19" s="96">
        <f t="shared" si="7"/>
        <v>12.262170236093759</v>
      </c>
      <c r="AC19" s="95">
        <f t="shared" si="8"/>
        <v>0.27158137481392891</v>
      </c>
      <c r="AD19" s="162">
        <f t="shared" si="9"/>
        <v>12.22895866203398</v>
      </c>
      <c r="AE19" s="209">
        <f>AVERAGE(AD19:AD21)</f>
        <v>12.226821284500971</v>
      </c>
      <c r="AF19" s="209">
        <f>AVERAGE(AC19:AC21)</f>
        <v>0.19392283998725024</v>
      </c>
      <c r="AG19" s="200">
        <f>STDEV(AC19:AC21)</f>
        <v>6.8426976799162639E-2</v>
      </c>
      <c r="AH19" s="200">
        <f>AG19*4.303/SQRT(2)</f>
        <v>0.20820142657429694</v>
      </c>
      <c r="AI19" s="200">
        <v>0.25</v>
      </c>
      <c r="AJ19" s="200">
        <f>SQRT(AI19^2+AH19^2)</f>
        <v>0.32534264096114479</v>
      </c>
      <c r="AM19" s="95">
        <f t="shared" si="10"/>
        <v>12.281568932066113</v>
      </c>
      <c r="AN19" s="95">
        <f t="shared" si="11"/>
        <v>0.43021054765249123</v>
      </c>
      <c r="AO19" s="95">
        <f t="shared" si="12"/>
        <v>12.22895866203398</v>
      </c>
      <c r="AP19" s="209">
        <f>AVERAGE(AO19:AO21)</f>
        <v>12.226821284500971</v>
      </c>
      <c r="AQ19" s="209">
        <f>AVERAGE(AN19:AN21)</f>
        <v>0.35242568816506487</v>
      </c>
      <c r="AR19" s="200">
        <f>STDEV(AN19:AN21)</f>
        <v>6.8538933860011086E-2</v>
      </c>
      <c r="AS19" s="200">
        <f>AR19*4.303/SQRT(2)</f>
        <v>0.20854207613787659</v>
      </c>
      <c r="AT19" s="200">
        <v>0.25</v>
      </c>
      <c r="AU19" s="200">
        <f>SQRT(AT19^2+AS19^2)</f>
        <v>0.32556074321068856</v>
      </c>
      <c r="AW19" s="71">
        <v>20.185270097271001</v>
      </c>
      <c r="AX19" s="71">
        <v>35.587444266029301</v>
      </c>
      <c r="AY19" s="73">
        <v>514.00415966129299</v>
      </c>
      <c r="AZ19" s="73">
        <v>85.655104792407201</v>
      </c>
      <c r="BA19" s="75">
        <v>1.5487652623393799E-5</v>
      </c>
      <c r="BB19" s="74">
        <v>150935</v>
      </c>
      <c r="BC19" s="73">
        <v>827.94362248908499</v>
      </c>
      <c r="BD19" s="161">
        <f t="shared" si="13"/>
        <v>6597158.768909378</v>
      </c>
      <c r="BE19" s="160">
        <v>5798.78</v>
      </c>
      <c r="BF19" s="159">
        <f t="shared" si="14"/>
        <v>514.00415966129185</v>
      </c>
      <c r="BG19" s="156">
        <f t="shared" si="15"/>
        <v>0.81935693604824433</v>
      </c>
      <c r="BH19" s="154">
        <f t="shared" si="16"/>
        <v>9.3211209568307626E-3</v>
      </c>
      <c r="BI19" s="154">
        <f t="shared" si="17"/>
        <v>-1.4247583555583429E-3</v>
      </c>
      <c r="BJ19" s="155">
        <f t="shared" si="18"/>
        <v>-1.4325258312127805E-2</v>
      </c>
      <c r="BK19" s="154">
        <f t="shared" si="19"/>
        <v>-6.4288957108553854E-3</v>
      </c>
      <c r="BL19" s="158">
        <f t="shared" si="20"/>
        <v>5799.1527975187018</v>
      </c>
      <c r="BM19" s="151">
        <f t="shared" si="21"/>
        <v>513.97111699419634</v>
      </c>
      <c r="BN19" s="157">
        <f t="shared" si="22"/>
        <v>6596734.6717170114</v>
      </c>
      <c r="BO19" s="156">
        <f t="shared" si="23"/>
        <v>0.81932901660637103</v>
      </c>
      <c r="BP19" s="154">
        <f t="shared" si="24"/>
        <v>9.3232420839336402E-3</v>
      </c>
      <c r="BQ19" s="154">
        <f t="shared" si="25"/>
        <v>-1.4248542821676648E-3</v>
      </c>
      <c r="BR19" s="155">
        <f t="shared" si="26"/>
        <v>-1.4324337415414095E-2</v>
      </c>
      <c r="BS19" s="154">
        <f t="shared" si="27"/>
        <v>-6.4259496136481187E-3</v>
      </c>
      <c r="BT19" s="151">
        <f t="shared" si="28"/>
        <v>5799.152626681006</v>
      </c>
      <c r="BU19" s="153">
        <f t="shared" si="29"/>
        <v>513.97113213531213</v>
      </c>
      <c r="BV19" s="68">
        <f t="shared" si="30"/>
        <v>12.22895866203398</v>
      </c>
    </row>
    <row r="20" spans="2:74" x14ac:dyDescent="0.25">
      <c r="B20" s="99">
        <v>11</v>
      </c>
      <c r="C20" s="98">
        <v>45239.6401736111</v>
      </c>
      <c r="D20" s="73">
        <v>181.81030000000001</v>
      </c>
      <c r="E20" s="73">
        <v>0.96494523888888695</v>
      </c>
      <c r="F20" s="71">
        <v>19.894867215007</v>
      </c>
      <c r="G20" s="71">
        <v>36.474662842863403</v>
      </c>
      <c r="H20" s="152">
        <f t="shared" si="0"/>
        <v>12.226360189952548</v>
      </c>
      <c r="I20" s="73">
        <v>88.768153128523807</v>
      </c>
      <c r="J20" s="75">
        <v>1.55173331123289E-5</v>
      </c>
      <c r="K20" s="74">
        <v>222366</v>
      </c>
      <c r="L20" s="73">
        <v>1223.06601991196</v>
      </c>
      <c r="M20" s="71">
        <v>100.02874447528001</v>
      </c>
      <c r="N20" s="73">
        <v>12.230660199119599</v>
      </c>
      <c r="O20" s="151">
        <f t="shared" si="1"/>
        <v>3.5169985999475482E-2</v>
      </c>
      <c r="Q20" s="97">
        <f t="shared" si="2"/>
        <v>19.894867215007</v>
      </c>
      <c r="R20" s="97">
        <f t="shared" si="3"/>
        <v>37.43960808175229</v>
      </c>
      <c r="S20" s="67">
        <v>88.769729629794995</v>
      </c>
      <c r="T20" s="67">
        <v>231.31188880082701</v>
      </c>
      <c r="U20" s="67">
        <v>1.268614038613</v>
      </c>
      <c r="V20" s="67">
        <v>92.65</v>
      </c>
      <c r="W20" s="67">
        <v>44.7</v>
      </c>
      <c r="X20" s="67">
        <f t="shared" si="4"/>
        <v>2.2350000000000002E-2</v>
      </c>
      <c r="Y20" s="67">
        <v>1</v>
      </c>
      <c r="Z20" s="96">
        <f t="shared" si="5"/>
        <v>0.99842059588656873</v>
      </c>
      <c r="AA20" s="96">
        <f t="shared" si="6"/>
        <v>1.0026563172568941</v>
      </c>
      <c r="AB20" s="96">
        <f t="shared" si="7"/>
        <v>12.243780245349003</v>
      </c>
      <c r="AC20" s="95">
        <f t="shared" si="8"/>
        <v>0.14247948797362053</v>
      </c>
      <c r="AD20" s="162">
        <f t="shared" si="9"/>
        <v>12.226360189952548</v>
      </c>
      <c r="AE20" s="209"/>
      <c r="AF20" s="209"/>
      <c r="AG20" s="200"/>
      <c r="AH20" s="200"/>
      <c r="AI20" s="200"/>
      <c r="AJ20" s="200"/>
      <c r="AM20" s="95">
        <f t="shared" si="10"/>
        <v>12.263148712869729</v>
      </c>
      <c r="AN20" s="95">
        <f t="shared" si="11"/>
        <v>0.30089513432962206</v>
      </c>
      <c r="AO20" s="95">
        <f t="shared" si="12"/>
        <v>12.226360189952548</v>
      </c>
      <c r="AP20" s="209"/>
      <c r="AQ20" s="209"/>
      <c r="AR20" s="200"/>
      <c r="AS20" s="200"/>
      <c r="AT20" s="200"/>
      <c r="AU20" s="200"/>
      <c r="AW20" s="71">
        <v>20.146134678492</v>
      </c>
      <c r="AX20" s="71">
        <v>35.579225445698299</v>
      </c>
      <c r="AY20" s="73">
        <v>513.89257409863205</v>
      </c>
      <c r="AZ20" s="73">
        <v>85.655497416417205</v>
      </c>
      <c r="BA20" s="75">
        <v>1.5485665813432699E-5</v>
      </c>
      <c r="BB20" s="74">
        <v>150496</v>
      </c>
      <c r="BC20" s="73">
        <v>827.763883564352</v>
      </c>
      <c r="BD20" s="161">
        <f t="shared" si="13"/>
        <v>6596603.0551212216</v>
      </c>
      <c r="BE20" s="160">
        <v>5798.78</v>
      </c>
      <c r="BF20" s="159">
        <f t="shared" si="14"/>
        <v>513.89257409863239</v>
      </c>
      <c r="BG20" s="156">
        <f t="shared" si="15"/>
        <v>0.81932035157217509</v>
      </c>
      <c r="BH20" s="154">
        <f t="shared" si="16"/>
        <v>9.3239004586823382E-3</v>
      </c>
      <c r="BI20" s="154">
        <f t="shared" si="17"/>
        <v>-1.4250758206149189E-3</v>
      </c>
      <c r="BJ20" s="155">
        <f t="shared" si="18"/>
        <v>-1.4325434366933775E-2</v>
      </c>
      <c r="BK20" s="154">
        <f t="shared" si="19"/>
        <v>-6.426609728866356E-3</v>
      </c>
      <c r="BL20" s="158">
        <f t="shared" si="20"/>
        <v>5799.1526649596353</v>
      </c>
      <c r="BM20" s="151">
        <f t="shared" si="21"/>
        <v>513.85955035077689</v>
      </c>
      <c r="BN20" s="157">
        <f t="shared" si="22"/>
        <v>6596179.1444305927</v>
      </c>
      <c r="BO20" s="156">
        <f t="shared" si="23"/>
        <v>0.81929244205755747</v>
      </c>
      <c r="BP20" s="154">
        <f t="shared" si="24"/>
        <v>9.3260212506580467E-3</v>
      </c>
      <c r="BQ20" s="154">
        <f t="shared" si="25"/>
        <v>-1.4251717353771334E-3</v>
      </c>
      <c r="BR20" s="155">
        <f t="shared" si="26"/>
        <v>-1.4324513786337168E-2</v>
      </c>
      <c r="BS20" s="154">
        <f t="shared" si="27"/>
        <v>-6.4236642710562546E-3</v>
      </c>
      <c r="BT20" s="151">
        <f t="shared" si="28"/>
        <v>5799.1524941590169</v>
      </c>
      <c r="BU20" s="153">
        <f t="shared" si="29"/>
        <v>513.8595654853209</v>
      </c>
      <c r="BV20" s="68">
        <f t="shared" si="30"/>
        <v>12.226360189952548</v>
      </c>
    </row>
    <row r="21" spans="2:74" x14ac:dyDescent="0.25">
      <c r="B21" s="99">
        <v>12</v>
      </c>
      <c r="C21" s="98">
        <v>45239.642754629604</v>
      </c>
      <c r="D21" s="73">
        <v>181.81104999999999</v>
      </c>
      <c r="E21" s="73">
        <v>0.964944629834253</v>
      </c>
      <c r="F21" s="71">
        <v>19.877728869662999</v>
      </c>
      <c r="G21" s="71">
        <v>36.465804037361799</v>
      </c>
      <c r="H21" s="152">
        <f t="shared" si="0"/>
        <v>12.225145001516392</v>
      </c>
      <c r="I21" s="73">
        <v>88.751293351468604</v>
      </c>
      <c r="J21" s="75">
        <v>1.5516216859165501E-5</v>
      </c>
      <c r="K21" s="74">
        <v>222401</v>
      </c>
      <c r="L21" s="73">
        <v>1223.2534821178399</v>
      </c>
      <c r="M21" s="71">
        <v>100.054018801438</v>
      </c>
      <c r="N21" s="73">
        <v>12.232534821178399</v>
      </c>
      <c r="O21" s="151">
        <f t="shared" si="1"/>
        <v>6.0447705618958666E-2</v>
      </c>
      <c r="Q21" s="97">
        <f t="shared" si="2"/>
        <v>19.877728869662999</v>
      </c>
      <c r="R21" s="97">
        <f t="shared" si="3"/>
        <v>37.430748667196049</v>
      </c>
      <c r="S21" s="67">
        <v>88.753015675293</v>
      </c>
      <c r="T21" s="67">
        <v>231.30592543972199</v>
      </c>
      <c r="U21" s="67">
        <v>1.2686099741600001</v>
      </c>
      <c r="V21" s="67">
        <v>92.65</v>
      </c>
      <c r="W21" s="67">
        <v>44.7</v>
      </c>
      <c r="X21" s="67">
        <f t="shared" si="4"/>
        <v>2.2350000000000002E-2</v>
      </c>
      <c r="Y21" s="67">
        <v>1</v>
      </c>
      <c r="Z21" s="96">
        <f t="shared" si="5"/>
        <v>0.99842051457605507</v>
      </c>
      <c r="AA21" s="96">
        <f t="shared" si="6"/>
        <v>1.0026556315006294</v>
      </c>
      <c r="AB21" s="96">
        <f t="shared" si="7"/>
        <v>12.245647505784584</v>
      </c>
      <c r="AC21" s="76">
        <f t="shared" si="8"/>
        <v>0.16770765717420127</v>
      </c>
      <c r="AD21" s="162">
        <f t="shared" si="9"/>
        <v>12.225145001516392</v>
      </c>
      <c r="AE21" s="209"/>
      <c r="AF21" s="209"/>
      <c r="AG21" s="200"/>
      <c r="AH21" s="200"/>
      <c r="AI21" s="200"/>
      <c r="AJ21" s="200"/>
      <c r="AM21" s="95">
        <f t="shared" si="10"/>
        <v>12.265019925982067</v>
      </c>
      <c r="AN21" s="95">
        <f t="shared" si="11"/>
        <v>0.32617138251308131</v>
      </c>
      <c r="AO21" s="95">
        <f t="shared" si="12"/>
        <v>12.225145001516392</v>
      </c>
      <c r="AP21" s="209"/>
      <c r="AQ21" s="209"/>
      <c r="AR21" s="200"/>
      <c r="AS21" s="200"/>
      <c r="AT21" s="200"/>
      <c r="AU21" s="200"/>
      <c r="AW21" s="71">
        <v>20.121979881226999</v>
      </c>
      <c r="AX21" s="71">
        <v>35.570601698112903</v>
      </c>
      <c r="AY21" s="73">
        <v>513.90752743495102</v>
      </c>
      <c r="AZ21" s="73">
        <v>85.644493459456996</v>
      </c>
      <c r="BA21" s="75">
        <v>1.5484280578528499E-5</v>
      </c>
      <c r="BB21" s="74">
        <v>150501</v>
      </c>
      <c r="BC21" s="73">
        <v>827.78796998312305</v>
      </c>
      <c r="BD21" s="161">
        <f t="shared" si="13"/>
        <v>6596537.6079742229</v>
      </c>
      <c r="BE21" s="160">
        <v>5798.78</v>
      </c>
      <c r="BF21" s="159">
        <f t="shared" si="14"/>
        <v>513.90752743495057</v>
      </c>
      <c r="BG21" s="156">
        <f t="shared" si="15"/>
        <v>0.81931604276724024</v>
      </c>
      <c r="BH21" s="154">
        <f t="shared" si="16"/>
        <v>9.3242278558650499E-3</v>
      </c>
      <c r="BI21" s="154">
        <f t="shared" si="17"/>
        <v>-1.4252154881421034E-3</v>
      </c>
      <c r="BJ21" s="155">
        <f t="shared" si="18"/>
        <v>-1.4327392041086183E-2</v>
      </c>
      <c r="BK21" s="154">
        <f t="shared" si="19"/>
        <v>-6.4283796733632364E-3</v>
      </c>
      <c r="BL21" s="158">
        <f t="shared" si="20"/>
        <v>5799.1527675948228</v>
      </c>
      <c r="BM21" s="151">
        <f t="shared" si="21"/>
        <v>513.87449363145538</v>
      </c>
      <c r="BN21" s="157">
        <f t="shared" si="22"/>
        <v>6596113.5847493103</v>
      </c>
      <c r="BO21" s="156">
        <f t="shared" si="23"/>
        <v>0.81928812556634534</v>
      </c>
      <c r="BP21" s="154">
        <f t="shared" si="24"/>
        <v>9.326349281323712E-3</v>
      </c>
      <c r="BQ21" s="154">
        <f t="shared" si="25"/>
        <v>-1.4253114386029754E-3</v>
      </c>
      <c r="BR21" s="155">
        <f t="shared" si="26"/>
        <v>-1.4326471081131293E-2</v>
      </c>
      <c r="BS21" s="154">
        <f t="shared" si="27"/>
        <v>-6.4254332384105564E-3</v>
      </c>
      <c r="BT21" s="151">
        <f t="shared" si="28"/>
        <v>5799.1525967375419</v>
      </c>
      <c r="BU21" s="153">
        <f t="shared" si="29"/>
        <v>513.87450877146034</v>
      </c>
      <c r="BV21" s="68">
        <f t="shared" si="30"/>
        <v>12.225145001516392</v>
      </c>
    </row>
    <row r="22" spans="2:74" x14ac:dyDescent="0.25">
      <c r="B22" s="99">
        <v>13</v>
      </c>
      <c r="C22" s="98">
        <v>45239.659560185202</v>
      </c>
      <c r="D22" s="73">
        <v>181.76271</v>
      </c>
      <c r="E22" s="73">
        <v>0.96487346961326104</v>
      </c>
      <c r="F22" s="71">
        <v>20.010535132828998</v>
      </c>
      <c r="G22" s="71">
        <v>36.391198034039398</v>
      </c>
      <c r="H22" s="152">
        <f t="shared" si="0"/>
        <v>10.917593795127232</v>
      </c>
      <c r="I22" s="73">
        <v>88.406082593207302</v>
      </c>
      <c r="J22" s="75">
        <v>1.5518002108943899E-5</v>
      </c>
      <c r="K22" s="74">
        <v>198087</v>
      </c>
      <c r="L22" s="73">
        <v>1089.8109958857899</v>
      </c>
      <c r="M22" s="71">
        <v>99.820713426239095</v>
      </c>
      <c r="N22" s="73">
        <v>10.8981099588579</v>
      </c>
      <c r="O22" s="151">
        <f t="shared" si="1"/>
        <v>-0.17846273304313831</v>
      </c>
      <c r="Q22" s="97">
        <f t="shared" si="2"/>
        <v>20.010535132828998</v>
      </c>
      <c r="R22" s="97">
        <f t="shared" si="3"/>
        <v>37.356071503652657</v>
      </c>
      <c r="S22" s="67">
        <v>88.407561058587007</v>
      </c>
      <c r="T22" s="67">
        <v>231.52717842202199</v>
      </c>
      <c r="U22" s="67">
        <v>1.2686217995910001</v>
      </c>
      <c r="V22" s="67">
        <v>92.65</v>
      </c>
      <c r="W22" s="67">
        <v>44.7</v>
      </c>
      <c r="X22" s="67">
        <f t="shared" si="4"/>
        <v>2.2350000000000002E-2</v>
      </c>
      <c r="Y22" s="67">
        <v>1</v>
      </c>
      <c r="Z22" s="96">
        <f t="shared" si="5"/>
        <v>0.9984235271659696</v>
      </c>
      <c r="AA22" s="96">
        <f t="shared" si="6"/>
        <v>1.0026498563197124</v>
      </c>
      <c r="AB22" s="96">
        <f t="shared" si="7"/>
        <v>10.90976228405952</v>
      </c>
      <c r="AC22" s="76">
        <f t="shared" si="8"/>
        <v>-7.1732940560652214E-2</v>
      </c>
      <c r="AD22" s="162">
        <f t="shared" si="9"/>
        <v>10.917593795127232</v>
      </c>
      <c r="AE22" s="209">
        <f>AVERAGE(AD22:AD24)</f>
        <v>10.915970537168159</v>
      </c>
      <c r="AF22" s="209">
        <f>AVERAGE(AC22:AC24)</f>
        <v>4.9377256953519022E-2</v>
      </c>
      <c r="AG22" s="200">
        <f>STDEV(AC22:AC24)</f>
        <v>0.10528037462035594</v>
      </c>
      <c r="AH22" s="200">
        <f>AG22*4.303/SQRT(2)</f>
        <v>0.32033454072608897</v>
      </c>
      <c r="AI22" s="200">
        <v>0.25</v>
      </c>
      <c r="AJ22" s="200">
        <f>SQRT(AI22^2+AH22^2)</f>
        <v>0.40634248852685134</v>
      </c>
      <c r="AM22" s="95">
        <f t="shared" si="10"/>
        <v>10.9269883844053</v>
      </c>
      <c r="AN22" s="95">
        <f t="shared" si="11"/>
        <v>8.6049998327117488E-2</v>
      </c>
      <c r="AO22" s="95">
        <f t="shared" si="12"/>
        <v>10.917593795127232</v>
      </c>
      <c r="AP22" s="209">
        <f>AVERAGE(AO22:AO24)</f>
        <v>10.915970537168159</v>
      </c>
      <c r="AQ22" s="209">
        <f>AVERAGE(AN22:AN24)</f>
        <v>0.20734316634694616</v>
      </c>
      <c r="AR22" s="200">
        <f>STDEV(AN22:AN24)</f>
        <v>0.10543969368898798</v>
      </c>
      <c r="AS22" s="200">
        <f>AR22*4.303/SQRT(2)</f>
        <v>0.32081929774621915</v>
      </c>
      <c r="AT22" s="200">
        <v>0.25</v>
      </c>
      <c r="AU22" s="200">
        <f>SQRT(AT22^2+AS22^2)</f>
        <v>0.40672474943919651</v>
      </c>
      <c r="AW22" s="71">
        <v>20.161408246158</v>
      </c>
      <c r="AX22" s="71">
        <v>35.684529980696603</v>
      </c>
      <c r="AY22" s="73">
        <v>457.09667994793</v>
      </c>
      <c r="AZ22" s="73">
        <v>85.985446329213403</v>
      </c>
      <c r="BA22" s="75">
        <v>1.54911108891307E-5</v>
      </c>
      <c r="BB22" s="74">
        <v>133828</v>
      </c>
      <c r="BC22" s="73">
        <v>736.27863493012399</v>
      </c>
      <c r="BD22" s="161">
        <f t="shared" si="13"/>
        <v>5888071.9044355024</v>
      </c>
      <c r="BE22" s="160">
        <v>5798.78</v>
      </c>
      <c r="BF22" s="159">
        <f t="shared" si="14"/>
        <v>457.09667994792807</v>
      </c>
      <c r="BG22" s="156">
        <f t="shared" si="15"/>
        <v>0.76997310491451176</v>
      </c>
      <c r="BH22" s="154">
        <f t="shared" si="16"/>
        <v>1.3534156246603989E-2</v>
      </c>
      <c r="BI22" s="154">
        <f t="shared" si="17"/>
        <v>-1.6053754561570998E-3</v>
      </c>
      <c r="BJ22" s="155">
        <f t="shared" si="18"/>
        <v>-1.2754529225539961E-2</v>
      </c>
      <c r="BK22" s="154">
        <f t="shared" si="19"/>
        <v>-8.2574843509307036E-4</v>
      </c>
      <c r="BL22" s="158">
        <f t="shared" si="20"/>
        <v>5798.8278833351042</v>
      </c>
      <c r="BM22" s="151">
        <f t="shared" si="21"/>
        <v>457.09290551041397</v>
      </c>
      <c r="BN22" s="157">
        <f t="shared" si="22"/>
        <v>5888023.2841753764</v>
      </c>
      <c r="BO22" s="156">
        <f t="shared" si="23"/>
        <v>0.76996951874943009</v>
      </c>
      <c r="BP22" s="154">
        <f t="shared" si="24"/>
        <v>1.3534492912682911E-2</v>
      </c>
      <c r="BQ22" s="154">
        <f t="shared" si="25"/>
        <v>-1.6053894131011031E-3</v>
      </c>
      <c r="BR22" s="155">
        <f t="shared" si="26"/>
        <v>-1.2754423906084151E-2</v>
      </c>
      <c r="BS22" s="154">
        <f t="shared" si="27"/>
        <v>-8.2532040650234312E-4</v>
      </c>
      <c r="BT22" s="151">
        <f t="shared" si="28"/>
        <v>5798.8278585146682</v>
      </c>
      <c r="BU22" s="153">
        <f t="shared" si="29"/>
        <v>457.09290746688606</v>
      </c>
      <c r="BV22" s="68">
        <f t="shared" si="30"/>
        <v>10.917593795127232</v>
      </c>
    </row>
    <row r="23" spans="2:74" x14ac:dyDescent="0.25">
      <c r="B23" s="99">
        <v>14</v>
      </c>
      <c r="C23" s="98">
        <v>45239.661956018499</v>
      </c>
      <c r="D23" s="73">
        <v>181.76716999999999</v>
      </c>
      <c r="E23" s="73">
        <v>0.96493497237569104</v>
      </c>
      <c r="F23" s="71">
        <v>20.016771106665999</v>
      </c>
      <c r="G23" s="71">
        <v>36.3901458750302</v>
      </c>
      <c r="H23" s="152">
        <f t="shared" si="0"/>
        <v>10.916105208944728</v>
      </c>
      <c r="I23" s="73">
        <v>88.398079545040702</v>
      </c>
      <c r="J23" s="75">
        <v>1.5518204382077298E-5</v>
      </c>
      <c r="K23" s="74">
        <v>198443</v>
      </c>
      <c r="L23" s="73">
        <v>1091.74280482003</v>
      </c>
      <c r="M23" s="71">
        <v>100.011301186358</v>
      </c>
      <c r="N23" s="73">
        <v>10.9174280482003</v>
      </c>
      <c r="O23" s="151">
        <f t="shared" si="1"/>
        <v>1.2118234757281446E-2</v>
      </c>
      <c r="Q23" s="97">
        <f t="shared" si="2"/>
        <v>20.016771106665999</v>
      </c>
      <c r="R23" s="97">
        <f t="shared" si="3"/>
        <v>37.355080847405894</v>
      </c>
      <c r="S23" s="67">
        <v>88.399706237795002</v>
      </c>
      <c r="T23" s="67">
        <v>231.53447480932701</v>
      </c>
      <c r="U23" s="67">
        <v>1.268622681536</v>
      </c>
      <c r="V23" s="67">
        <v>92.65</v>
      </c>
      <c r="W23" s="67">
        <v>44.7</v>
      </c>
      <c r="X23" s="67">
        <f t="shared" si="4"/>
        <v>2.2350000000000002E-2</v>
      </c>
      <c r="Y23" s="67">
        <v>1</v>
      </c>
      <c r="Z23" s="96">
        <f t="shared" si="5"/>
        <v>0.99842362636711968</v>
      </c>
      <c r="AA23" s="96">
        <f t="shared" si="6"/>
        <v>1.0026497748735437</v>
      </c>
      <c r="AB23" s="96">
        <f t="shared" si="7"/>
        <v>10.929101226530364</v>
      </c>
      <c r="AC23" s="76">
        <f t="shared" si="8"/>
        <v>0.1190536124091803</v>
      </c>
      <c r="AD23" s="162">
        <f t="shared" si="9"/>
        <v>10.916105208944728</v>
      </c>
      <c r="AE23" s="209"/>
      <c r="AF23" s="209"/>
      <c r="AG23" s="200"/>
      <c r="AH23" s="200"/>
      <c r="AI23" s="200"/>
      <c r="AJ23" s="200"/>
      <c r="AM23" s="95">
        <f t="shared" si="10"/>
        <v>10.946356774726143</v>
      </c>
      <c r="AN23" s="95">
        <f t="shared" si="11"/>
        <v>0.27712783270562547</v>
      </c>
      <c r="AO23" s="95">
        <f t="shared" si="12"/>
        <v>10.916105208944728</v>
      </c>
      <c r="AP23" s="209"/>
      <c r="AQ23" s="209"/>
      <c r="AR23" s="200"/>
      <c r="AS23" s="200"/>
      <c r="AT23" s="200"/>
      <c r="AU23" s="200"/>
      <c r="AW23" s="71">
        <v>20.176934916655998</v>
      </c>
      <c r="AX23" s="71">
        <v>35.683617937625002</v>
      </c>
      <c r="AY23" s="73">
        <v>457.10595703716501</v>
      </c>
      <c r="AZ23" s="73">
        <v>85.971970381103802</v>
      </c>
      <c r="BA23" s="75">
        <v>1.5491710493747401E-5</v>
      </c>
      <c r="BB23" s="74">
        <v>133834</v>
      </c>
      <c r="BC23" s="73">
        <v>736.29357820777</v>
      </c>
      <c r="BD23" s="161">
        <f t="shared" si="13"/>
        <v>5887040.7224045014</v>
      </c>
      <c r="BE23" s="160">
        <v>5798.78</v>
      </c>
      <c r="BF23" s="159">
        <f t="shared" si="14"/>
        <v>457.10595703716513</v>
      </c>
      <c r="BG23" s="156">
        <f t="shared" si="15"/>
        <v>0.76989703996613479</v>
      </c>
      <c r="BH23" s="154">
        <f t="shared" si="16"/>
        <v>1.354129802920568E-2</v>
      </c>
      <c r="BI23" s="154">
        <f t="shared" si="17"/>
        <v>-1.6055927870563111E-3</v>
      </c>
      <c r="BJ23" s="155">
        <f t="shared" si="18"/>
        <v>-1.2753085078171371E-2</v>
      </c>
      <c r="BK23" s="154">
        <f t="shared" si="19"/>
        <v>-8.1737983602200338E-4</v>
      </c>
      <c r="BL23" s="158">
        <f t="shared" si="20"/>
        <v>5798.8273980584554</v>
      </c>
      <c r="BM23" s="151">
        <f t="shared" si="21"/>
        <v>457.10222077578243</v>
      </c>
      <c r="BN23" s="157">
        <f t="shared" si="22"/>
        <v>5886992.6033140132</v>
      </c>
      <c r="BO23" s="156">
        <f t="shared" si="23"/>
        <v>0.76989349014511843</v>
      </c>
      <c r="BP23" s="154">
        <f t="shared" si="24"/>
        <v>1.3541631368624699E-2</v>
      </c>
      <c r="BQ23" s="154">
        <f t="shared" si="25"/>
        <v>-1.6056066044097045E-3</v>
      </c>
      <c r="BR23" s="155">
        <f t="shared" si="26"/>
        <v>-1.2752980837877509E-2</v>
      </c>
      <c r="BS23" s="154">
        <f t="shared" si="27"/>
        <v>-8.1695607366251595E-4</v>
      </c>
      <c r="BT23" s="151">
        <f t="shared" si="28"/>
        <v>5798.8273734854083</v>
      </c>
      <c r="BU23" s="153">
        <f t="shared" si="29"/>
        <v>457.10222271279378</v>
      </c>
      <c r="BV23" s="68">
        <f t="shared" si="30"/>
        <v>10.916105208944728</v>
      </c>
    </row>
    <row r="24" spans="2:74" x14ac:dyDescent="0.25">
      <c r="B24" s="99">
        <v>15</v>
      </c>
      <c r="C24" s="98">
        <v>45239.664305555598</v>
      </c>
      <c r="D24" s="73">
        <v>181.76217</v>
      </c>
      <c r="E24" s="73">
        <v>0.96496485635359097</v>
      </c>
      <c r="F24" s="71">
        <v>20.018531461645001</v>
      </c>
      <c r="G24" s="71">
        <v>36.3886119022944</v>
      </c>
      <c r="H24" s="152">
        <f t="shared" si="0"/>
        <v>10.914212607432521</v>
      </c>
      <c r="I24" s="73">
        <v>88.392038637401399</v>
      </c>
      <c r="J24" s="75">
        <v>1.55182070200539E-5</v>
      </c>
      <c r="K24" s="74">
        <v>198367</v>
      </c>
      <c r="L24" s="73">
        <v>1091.35470818818</v>
      </c>
      <c r="M24" s="71">
        <v>99.993093508820493</v>
      </c>
      <c r="N24" s="73">
        <v>10.9135470818818</v>
      </c>
      <c r="O24" s="151">
        <f t="shared" si="1"/>
        <v>-6.0977880371107908E-3</v>
      </c>
      <c r="Q24" s="97">
        <f t="shared" si="2"/>
        <v>20.018531461645001</v>
      </c>
      <c r="R24" s="97">
        <f t="shared" si="3"/>
        <v>37.353576758647989</v>
      </c>
      <c r="S24" s="67">
        <v>88.393440868723999</v>
      </c>
      <c r="T24" s="67">
        <v>231.53802666392599</v>
      </c>
      <c r="U24" s="67">
        <v>1.268622768118</v>
      </c>
      <c r="V24" s="67">
        <v>92.65</v>
      </c>
      <c r="W24" s="67">
        <v>44.7</v>
      </c>
      <c r="X24" s="67">
        <f t="shared" si="4"/>
        <v>2.2350000000000002E-2</v>
      </c>
      <c r="Y24" s="67">
        <v>1</v>
      </c>
      <c r="Z24" s="96">
        <f t="shared" si="5"/>
        <v>0.99842367465448945</v>
      </c>
      <c r="AA24" s="96">
        <f t="shared" si="6"/>
        <v>1.0026496561308667</v>
      </c>
      <c r="AB24" s="96">
        <f t="shared" si="7"/>
        <v>10.925215345110583</v>
      </c>
      <c r="AC24" s="76">
        <f t="shared" si="8"/>
        <v>0.10081109901202896</v>
      </c>
      <c r="AD24" s="162">
        <f t="shared" si="9"/>
        <v>10.914212607432521</v>
      </c>
      <c r="AE24" s="209"/>
      <c r="AF24" s="209"/>
      <c r="AG24" s="200"/>
      <c r="AH24" s="200"/>
      <c r="AI24" s="200"/>
      <c r="AJ24" s="200"/>
      <c r="AM24" s="95">
        <f t="shared" si="10"/>
        <v>10.94246422881681</v>
      </c>
      <c r="AN24" s="95">
        <f t="shared" si="11"/>
        <v>0.25885166800809556</v>
      </c>
      <c r="AO24" s="95">
        <f t="shared" si="12"/>
        <v>10.914212607432521</v>
      </c>
      <c r="AP24" s="209"/>
      <c r="AQ24" s="209"/>
      <c r="AR24" s="200"/>
      <c r="AS24" s="200"/>
      <c r="AT24" s="200"/>
      <c r="AU24" s="200"/>
      <c r="AW24" s="71">
        <v>20.177867277623001</v>
      </c>
      <c r="AX24" s="71">
        <v>35.681679991005304</v>
      </c>
      <c r="AY24" s="73">
        <v>457.06388230797802</v>
      </c>
      <c r="AZ24" s="73">
        <v>85.964970496438198</v>
      </c>
      <c r="BA24" s="75">
        <v>1.54916588348861E-5</v>
      </c>
      <c r="BB24" s="74">
        <v>133818</v>
      </c>
      <c r="BC24" s="73">
        <v>736.225805402741</v>
      </c>
      <c r="BD24" s="161">
        <f t="shared" si="13"/>
        <v>5886039.1901639458</v>
      </c>
      <c r="BE24" s="160">
        <v>5798.78</v>
      </c>
      <c r="BF24" s="159">
        <f t="shared" si="14"/>
        <v>457.0638823079799</v>
      </c>
      <c r="BG24" s="156">
        <f t="shared" si="15"/>
        <v>0.76982314937339258</v>
      </c>
      <c r="BH24" s="154">
        <f t="shared" si="16"/>
        <v>1.3548237410290799E-2</v>
      </c>
      <c r="BI24" s="154">
        <f t="shared" si="17"/>
        <v>-1.6058791520860256E-3</v>
      </c>
      <c r="BJ24" s="155">
        <f t="shared" si="18"/>
        <v>-1.2751536834783998E-2</v>
      </c>
      <c r="BK24" s="154">
        <f t="shared" si="19"/>
        <v>-8.0917857657922428E-4</v>
      </c>
      <c r="BL24" s="158">
        <f t="shared" si="20"/>
        <v>5798.826922485463</v>
      </c>
      <c r="BM24" s="151">
        <f t="shared" si="21"/>
        <v>457.0601838748899</v>
      </c>
      <c r="BN24" s="157">
        <f t="shared" si="22"/>
        <v>5885991.5619812068</v>
      </c>
      <c r="BO24" s="156">
        <f t="shared" si="23"/>
        <v>0.76981963516970386</v>
      </c>
      <c r="BP24" s="154">
        <f t="shared" si="24"/>
        <v>1.3548567487114305E-2</v>
      </c>
      <c r="BQ24" s="154">
        <f t="shared" si="25"/>
        <v>-1.6058928333011525E-3</v>
      </c>
      <c r="BR24" s="155">
        <f t="shared" si="26"/>
        <v>-1.2751433652914673E-2</v>
      </c>
      <c r="BS24" s="154">
        <f t="shared" si="27"/>
        <v>-8.087589991015217E-4</v>
      </c>
      <c r="BT24" s="151">
        <f t="shared" si="28"/>
        <v>5798.8268981550882</v>
      </c>
      <c r="BU24" s="153">
        <f t="shared" si="29"/>
        <v>457.06018579259597</v>
      </c>
      <c r="BV24" s="68">
        <f t="shared" si="30"/>
        <v>10.914212607432521</v>
      </c>
    </row>
    <row r="25" spans="2:74" x14ac:dyDescent="0.25">
      <c r="B25" s="99">
        <v>16</v>
      </c>
      <c r="C25" s="98">
        <v>45239.675682870402</v>
      </c>
      <c r="D25" s="73">
        <v>182.18924000000001</v>
      </c>
      <c r="E25" s="73">
        <v>0.96504995027624396</v>
      </c>
      <c r="F25" s="71">
        <v>20.088751867551</v>
      </c>
      <c r="G25" s="71">
        <v>36.319682242014103</v>
      </c>
      <c r="H25" s="152">
        <f t="shared" si="0"/>
        <v>9.3987087388245261</v>
      </c>
      <c r="I25" s="73">
        <v>88.1127866521865</v>
      </c>
      <c r="J25" s="75">
        <v>1.5517764723925501E-5</v>
      </c>
      <c r="K25" s="74">
        <v>171163</v>
      </c>
      <c r="L25" s="73">
        <v>939.47919207522898</v>
      </c>
      <c r="M25" s="71">
        <v>99.965749595264896</v>
      </c>
      <c r="N25" s="73">
        <v>9.3947919207522901</v>
      </c>
      <c r="O25" s="151">
        <f t="shared" si="1"/>
        <v>-4.1674002047283901E-2</v>
      </c>
      <c r="Q25" s="97">
        <f t="shared" si="2"/>
        <v>20.088751867551</v>
      </c>
      <c r="R25" s="97">
        <f t="shared" si="3"/>
        <v>37.284732192290349</v>
      </c>
      <c r="S25" s="67">
        <v>88.114800500878999</v>
      </c>
      <c r="T25" s="67">
        <v>231.69023686090301</v>
      </c>
      <c r="U25" s="67">
        <v>1.2686251047420001</v>
      </c>
      <c r="V25" s="67">
        <v>92.65</v>
      </c>
      <c r="W25" s="67">
        <v>44.7</v>
      </c>
      <c r="X25" s="67">
        <f t="shared" si="4"/>
        <v>2.2350000000000002E-2</v>
      </c>
      <c r="Y25" s="67">
        <v>1</v>
      </c>
      <c r="Z25" s="96">
        <f t="shared" si="5"/>
        <v>0.99842574186621069</v>
      </c>
      <c r="AA25" s="96">
        <f t="shared" si="6"/>
        <v>1.0026443204116131</v>
      </c>
      <c r="AB25" s="96">
        <f t="shared" si="7"/>
        <v>9.4048058241516941</v>
      </c>
      <c r="AC25" s="76">
        <f t="shared" si="8"/>
        <v>6.4871521148239825E-2</v>
      </c>
      <c r="AD25" s="162">
        <f t="shared" si="9"/>
        <v>9.3987087388245261</v>
      </c>
      <c r="AE25" s="209">
        <f>AVERAGE(AD25:AD29)</f>
        <v>9.3974231255852168</v>
      </c>
      <c r="AF25" s="209">
        <f>AVERAGE(AC25:AC29)</f>
        <v>0.1393838396261412</v>
      </c>
      <c r="AG25" s="200">
        <f>STDEV(AC25:AC29)</f>
        <v>9.5190513061314652E-2</v>
      </c>
      <c r="AH25" s="200">
        <f>AG25*2.776/SQRT(2)</f>
        <v>0.18685216383782341</v>
      </c>
      <c r="AI25" s="200">
        <v>0.25</v>
      </c>
      <c r="AJ25" s="200">
        <f>SQRT(AI25^2+AH25^2)</f>
        <v>0.31211172860191716</v>
      </c>
      <c r="AM25" s="95">
        <f t="shared" si="10"/>
        <v>9.4196347607911939</v>
      </c>
      <c r="AN25" s="95">
        <f t="shared" si="11"/>
        <v>0.22264783969978608</v>
      </c>
      <c r="AO25" s="95">
        <f t="shared" si="12"/>
        <v>9.3987087388245261</v>
      </c>
      <c r="AP25" s="209">
        <f>AVERAGE(AO25:AO29)</f>
        <v>9.3974231255852168</v>
      </c>
      <c r="AQ25" s="209">
        <f>AVERAGE(AN25:AN29)</f>
        <v>0.29727406158577463</v>
      </c>
      <c r="AR25" s="200">
        <f>STDEV(AN25:AN29)</f>
        <v>9.5337500858444349E-2</v>
      </c>
      <c r="AS25" s="200">
        <f>AR25*2.776/SQRT(2)</f>
        <v>0.18714069036287478</v>
      </c>
      <c r="AT25" s="200">
        <v>0.25</v>
      </c>
      <c r="AU25" s="200">
        <f>SQRT(AT25^2+AS25^2)</f>
        <v>0.3122845465108598</v>
      </c>
      <c r="AW25" s="71">
        <v>20.223662475573999</v>
      </c>
      <c r="AX25" s="71">
        <v>35.799540823059601</v>
      </c>
      <c r="AY25" s="73">
        <v>391.96788767216299</v>
      </c>
      <c r="AZ25" s="73">
        <v>86.3153331255225</v>
      </c>
      <c r="BA25" s="75">
        <v>1.54989575074379E-5</v>
      </c>
      <c r="BB25" s="74">
        <v>115029</v>
      </c>
      <c r="BC25" s="73">
        <v>631.370985465442</v>
      </c>
      <c r="BD25" s="161">
        <f t="shared" si="13"/>
        <v>5065923.2142391317</v>
      </c>
      <c r="BE25" s="160">
        <v>5798.78</v>
      </c>
      <c r="BF25" s="159">
        <f t="shared" si="14"/>
        <v>391.96788767216401</v>
      </c>
      <c r="BG25" s="156">
        <f t="shared" si="15"/>
        <v>0.70465860276898584</v>
      </c>
      <c r="BH25" s="154">
        <f t="shared" si="16"/>
        <v>2.0256502493821049E-2</v>
      </c>
      <c r="BI25" s="154">
        <f t="shared" si="17"/>
        <v>-1.8813438134977559E-3</v>
      </c>
      <c r="BJ25" s="155">
        <f t="shared" si="18"/>
        <v>-1.0944779834443648E-2</v>
      </c>
      <c r="BK25" s="154">
        <f t="shared" si="19"/>
        <v>7.4303788458796455E-3</v>
      </c>
      <c r="BL25" s="158">
        <f t="shared" si="20"/>
        <v>5798.3491286775607</v>
      </c>
      <c r="BM25" s="151">
        <f t="shared" si="21"/>
        <v>391.99701453540854</v>
      </c>
      <c r="BN25" s="157">
        <f t="shared" si="22"/>
        <v>5066299.6594972992</v>
      </c>
      <c r="BO25" s="156">
        <f t="shared" si="23"/>
        <v>0.70469087369323868</v>
      </c>
      <c r="BP25" s="154">
        <f t="shared" si="24"/>
        <v>2.0252929411971862E-2</v>
      </c>
      <c r="BQ25" s="154">
        <f t="shared" si="25"/>
        <v>-1.8811954829150458E-3</v>
      </c>
      <c r="BR25" s="155">
        <f t="shared" si="26"/>
        <v>-1.0945593133480393E-2</v>
      </c>
      <c r="BS25" s="154">
        <f t="shared" si="27"/>
        <v>7.4261407955764219E-3</v>
      </c>
      <c r="BT25" s="151">
        <f t="shared" si="28"/>
        <v>5798.3493744327743</v>
      </c>
      <c r="BU25" s="153">
        <f t="shared" si="29"/>
        <v>391.99699792114404</v>
      </c>
      <c r="BV25" s="68">
        <f t="shared" si="30"/>
        <v>9.3987087388245261</v>
      </c>
    </row>
    <row r="26" spans="2:74" x14ac:dyDescent="0.25">
      <c r="B26" s="99">
        <v>17</v>
      </c>
      <c r="C26" s="98">
        <v>45239.678634259297</v>
      </c>
      <c r="D26" s="73">
        <v>124.89046</v>
      </c>
      <c r="E26" s="73">
        <v>0.96504923577235802</v>
      </c>
      <c r="F26" s="71">
        <v>20.085366492994002</v>
      </c>
      <c r="G26" s="71">
        <v>36.314643573804503</v>
      </c>
      <c r="H26" s="152">
        <f t="shared" si="0"/>
        <v>9.3979415895432492</v>
      </c>
      <c r="I26" s="73">
        <v>88.098779052108299</v>
      </c>
      <c r="J26" s="75">
        <v>1.5517391028730999E-5</v>
      </c>
      <c r="K26" s="74">
        <v>117413</v>
      </c>
      <c r="L26" s="73">
        <v>940.12785284000097</v>
      </c>
      <c r="M26" s="71">
        <v>100.042936575913</v>
      </c>
      <c r="N26" s="73">
        <v>9.4012785284000095</v>
      </c>
      <c r="O26" s="151">
        <f t="shared" si="1"/>
        <v>3.5507124884381409E-2</v>
      </c>
      <c r="Q26" s="97">
        <f t="shared" si="2"/>
        <v>20.085366492994002</v>
      </c>
      <c r="R26" s="97">
        <f t="shared" si="3"/>
        <v>37.279692809576858</v>
      </c>
      <c r="S26" s="67">
        <v>88.100656911808002</v>
      </c>
      <c r="T26" s="67">
        <v>231.693066139612</v>
      </c>
      <c r="U26" s="67">
        <v>1.268623918906</v>
      </c>
      <c r="V26" s="67">
        <v>92.65</v>
      </c>
      <c r="W26" s="67">
        <v>44.7</v>
      </c>
      <c r="X26" s="67">
        <f t="shared" si="4"/>
        <v>2.2350000000000002E-2</v>
      </c>
      <c r="Y26" s="67">
        <v>1</v>
      </c>
      <c r="Z26" s="96">
        <f t="shared" si="5"/>
        <v>0.99842578025299822</v>
      </c>
      <c r="AA26" s="96">
        <f t="shared" si="6"/>
        <v>1.0026439303797263</v>
      </c>
      <c r="AB26" s="96">
        <f t="shared" si="7"/>
        <v>9.4112960466839599</v>
      </c>
      <c r="AC26" s="76">
        <f t="shared" si="8"/>
        <v>0.1420998099793441</v>
      </c>
      <c r="AD26" s="162">
        <f t="shared" si="9"/>
        <v>9.3979415895432492</v>
      </c>
      <c r="AE26" s="209"/>
      <c r="AF26" s="209"/>
      <c r="AG26" s="200"/>
      <c r="AH26" s="200"/>
      <c r="AI26" s="200"/>
      <c r="AJ26" s="200"/>
      <c r="AM26" s="95">
        <f t="shared" si="10"/>
        <v>9.4261348543095149</v>
      </c>
      <c r="AN26" s="95">
        <f t="shared" si="11"/>
        <v>0.29999404122319023</v>
      </c>
      <c r="AO26" s="95">
        <f t="shared" si="12"/>
        <v>9.3979415895432492</v>
      </c>
      <c r="AP26" s="209"/>
      <c r="AQ26" s="209"/>
      <c r="AR26" s="200"/>
      <c r="AS26" s="200"/>
      <c r="AT26" s="200"/>
      <c r="AU26" s="200"/>
      <c r="AW26" s="71">
        <v>20.204095932455001</v>
      </c>
      <c r="AX26" s="71">
        <v>35.794885446708001</v>
      </c>
      <c r="AY26" s="73">
        <v>391.941975243564</v>
      </c>
      <c r="AZ26" s="73">
        <v>86.313993811016303</v>
      </c>
      <c r="BA26" s="75">
        <v>1.5497942442131999E-5</v>
      </c>
      <c r="BB26" s="74">
        <v>78847</v>
      </c>
      <c r="BC26" s="73">
        <v>631.32924644524496</v>
      </c>
      <c r="BD26" s="161">
        <f t="shared" si="13"/>
        <v>5065841.4876148617</v>
      </c>
      <c r="BE26" s="160">
        <v>5798.78</v>
      </c>
      <c r="BF26" s="159">
        <f t="shared" si="14"/>
        <v>391.94197524356537</v>
      </c>
      <c r="BG26" s="156">
        <f t="shared" si="15"/>
        <v>0.70465159640375918</v>
      </c>
      <c r="BH26" s="154">
        <f t="shared" si="16"/>
        <v>2.0257278276156865E-2</v>
      </c>
      <c r="BI26" s="154">
        <f t="shared" si="17"/>
        <v>-1.8815049883753989E-3</v>
      </c>
      <c r="BJ26" s="155">
        <f t="shared" si="18"/>
        <v>-1.0945272652879853E-2</v>
      </c>
      <c r="BK26" s="154">
        <f t="shared" si="19"/>
        <v>7.4305006349016135E-3</v>
      </c>
      <c r="BL26" s="158">
        <f t="shared" si="20"/>
        <v>5798.3491216152834</v>
      </c>
      <c r="BM26" s="151">
        <f t="shared" si="21"/>
        <v>391.97110065868844</v>
      </c>
      <c r="BN26" s="157">
        <f t="shared" si="22"/>
        <v>5066217.9329705369</v>
      </c>
      <c r="BO26" s="156">
        <f t="shared" si="23"/>
        <v>0.70468386785697446</v>
      </c>
      <c r="BP26" s="154">
        <f t="shared" si="24"/>
        <v>2.025370509008597E-2</v>
      </c>
      <c r="BQ26" s="154">
        <f t="shared" si="25"/>
        <v>-1.8813566421236191E-3</v>
      </c>
      <c r="BR26" s="155">
        <f t="shared" si="26"/>
        <v>-1.0946086001869719E-2</v>
      </c>
      <c r="BS26" s="154">
        <f t="shared" si="27"/>
        <v>7.4262624460926328E-3</v>
      </c>
      <c r="BT26" s="151">
        <f t="shared" si="28"/>
        <v>5798.3493673785279</v>
      </c>
      <c r="BU26" s="153">
        <f t="shared" si="29"/>
        <v>391.97108404497936</v>
      </c>
      <c r="BV26" s="68">
        <f t="shared" si="30"/>
        <v>9.3979415895432492</v>
      </c>
    </row>
    <row r="27" spans="2:74" x14ac:dyDescent="0.25">
      <c r="B27" s="99">
        <v>18</v>
      </c>
      <c r="C27" s="98">
        <v>45239.680937500001</v>
      </c>
      <c r="D27" s="73">
        <v>181.76903999999999</v>
      </c>
      <c r="E27" s="73">
        <v>0.96504018784530299</v>
      </c>
      <c r="F27" s="71">
        <v>20.080071723903</v>
      </c>
      <c r="G27" s="71">
        <v>36.310748965819101</v>
      </c>
      <c r="H27" s="152">
        <f t="shared" si="0"/>
        <v>9.3960737859330798</v>
      </c>
      <c r="I27" s="73">
        <v>88.090157033465999</v>
      </c>
      <c r="J27" s="75">
        <v>1.5516997531441701E-5</v>
      </c>
      <c r="K27" s="74">
        <v>170826</v>
      </c>
      <c r="L27" s="73">
        <v>939.79700833541301</v>
      </c>
      <c r="M27" s="71">
        <v>100.027618825334</v>
      </c>
      <c r="N27" s="73">
        <v>9.3979700833541298</v>
      </c>
      <c r="O27" s="151">
        <f t="shared" si="1"/>
        <v>2.0181806403956372E-2</v>
      </c>
      <c r="Q27" s="97">
        <f t="shared" si="2"/>
        <v>20.080071723903</v>
      </c>
      <c r="R27" s="97">
        <f t="shared" si="3"/>
        <v>37.275789153664405</v>
      </c>
      <c r="S27" s="67">
        <v>88.091648352039996</v>
      </c>
      <c r="T27" s="67">
        <v>231.69265844373501</v>
      </c>
      <c r="U27" s="67">
        <v>1.268622574928</v>
      </c>
      <c r="V27" s="67">
        <v>92.65</v>
      </c>
      <c r="W27" s="67">
        <v>44.7</v>
      </c>
      <c r="X27" s="67">
        <f t="shared" si="4"/>
        <v>2.2350000000000002E-2</v>
      </c>
      <c r="Y27" s="67">
        <v>1</v>
      </c>
      <c r="Z27" s="96">
        <f t="shared" si="5"/>
        <v>0.99842577472159211</v>
      </c>
      <c r="AA27" s="96">
        <f t="shared" si="6"/>
        <v>1.0026436289071565</v>
      </c>
      <c r="AB27" s="96">
        <f t="shared" si="7"/>
        <v>9.4079811954379267</v>
      </c>
      <c r="AC27" s="76">
        <f t="shared" si="8"/>
        <v>0.12672750104063113</v>
      </c>
      <c r="AD27" s="162">
        <f t="shared" si="9"/>
        <v>9.3960737859330798</v>
      </c>
      <c r="AE27" s="209"/>
      <c r="AF27" s="209"/>
      <c r="AG27" s="200"/>
      <c r="AH27" s="200"/>
      <c r="AI27" s="200"/>
      <c r="AJ27" s="200"/>
      <c r="AM27" s="95">
        <f t="shared" si="10"/>
        <v>9.4228148287350777</v>
      </c>
      <c r="AN27" s="95">
        <f t="shared" si="11"/>
        <v>0.28459805032642493</v>
      </c>
      <c r="AO27" s="95">
        <f t="shared" si="12"/>
        <v>9.3960737859330798</v>
      </c>
      <c r="AP27" s="209"/>
      <c r="AQ27" s="209"/>
      <c r="AR27" s="200"/>
      <c r="AS27" s="200"/>
      <c r="AT27" s="200"/>
      <c r="AU27" s="200"/>
      <c r="AW27" s="71">
        <v>20.197034384552001</v>
      </c>
      <c r="AX27" s="71">
        <v>35.790950005854597</v>
      </c>
      <c r="AY27" s="73">
        <v>391.90061074520497</v>
      </c>
      <c r="AZ27" s="73">
        <v>86.305940232168993</v>
      </c>
      <c r="BA27" s="75">
        <v>1.5497468642762601E-5</v>
      </c>
      <c r="BB27" s="74">
        <v>114744</v>
      </c>
      <c r="BC27" s="73">
        <v>631.26261766030098</v>
      </c>
      <c r="BD27" s="161">
        <f t="shared" si="13"/>
        <v>5064989.0765159214</v>
      </c>
      <c r="BE27" s="160">
        <v>5798.78</v>
      </c>
      <c r="BF27" s="159">
        <f t="shared" si="14"/>
        <v>391.90061074520565</v>
      </c>
      <c r="BG27" s="156">
        <f t="shared" si="15"/>
        <v>0.7045785130696508</v>
      </c>
      <c r="BH27" s="154">
        <f t="shared" si="16"/>
        <v>2.0265371045633411E-2</v>
      </c>
      <c r="BI27" s="154">
        <f t="shared" si="17"/>
        <v>-1.8818913037673252E-3</v>
      </c>
      <c r="BJ27" s="155">
        <f t="shared" si="18"/>
        <v>-1.0944270735156806E-2</v>
      </c>
      <c r="BK27" s="154">
        <f t="shared" si="19"/>
        <v>7.4392090067092811E-3</v>
      </c>
      <c r="BL27" s="158">
        <f t="shared" si="20"/>
        <v>5798.3486166359608</v>
      </c>
      <c r="BM27" s="151">
        <f t="shared" si="21"/>
        <v>391.92976721974861</v>
      </c>
      <c r="BN27" s="157">
        <f t="shared" si="22"/>
        <v>5065365.8996721515</v>
      </c>
      <c r="BO27" s="156">
        <f t="shared" si="23"/>
        <v>0.70461082234565631</v>
      </c>
      <c r="BP27" s="154">
        <f t="shared" si="24"/>
        <v>2.0261793195201286E-2</v>
      </c>
      <c r="BQ27" s="154">
        <f t="shared" si="25"/>
        <v>-1.8817427523158759E-3</v>
      </c>
      <c r="BR27" s="155">
        <f t="shared" si="26"/>
        <v>-1.0945084962903157E-2</v>
      </c>
      <c r="BS27" s="154">
        <f t="shared" si="27"/>
        <v>7.4349654799822536E-3</v>
      </c>
      <c r="BT27" s="151">
        <f t="shared" si="28"/>
        <v>5798.3488627087399</v>
      </c>
      <c r="BU27" s="153">
        <f t="shared" si="29"/>
        <v>391.9297505868675</v>
      </c>
      <c r="BV27" s="68">
        <f t="shared" si="30"/>
        <v>9.3960737859330798</v>
      </c>
    </row>
    <row r="28" spans="2:74" x14ac:dyDescent="0.25">
      <c r="B28" s="99">
        <v>19</v>
      </c>
      <c r="C28" s="98">
        <v>45239.683564814797</v>
      </c>
      <c r="D28" s="73">
        <v>181.78193999999999</v>
      </c>
      <c r="E28" s="73">
        <v>0.96507693370165903</v>
      </c>
      <c r="F28" s="71">
        <v>20.074812860498</v>
      </c>
      <c r="G28" s="71">
        <v>36.307217933838601</v>
      </c>
      <c r="H28" s="152">
        <f t="shared" si="0"/>
        <v>9.397024816149889</v>
      </c>
      <c r="I28" s="73">
        <v>88.081972801795501</v>
      </c>
      <c r="J28" s="75">
        <v>1.55166121589514E-5</v>
      </c>
      <c r="K28" s="74">
        <v>170751</v>
      </c>
      <c r="L28" s="73">
        <v>939.31773420395905</v>
      </c>
      <c r="M28" s="71">
        <v>99.966480755459898</v>
      </c>
      <c r="N28" s="73">
        <v>9.3931773420395892</v>
      </c>
      <c r="O28" s="151">
        <f t="shared" si="1"/>
        <v>-4.094353463542532E-2</v>
      </c>
      <c r="Q28" s="97">
        <f t="shared" si="2"/>
        <v>20.074812860498</v>
      </c>
      <c r="R28" s="97">
        <f t="shared" si="3"/>
        <v>37.272294867540261</v>
      </c>
      <c r="S28" s="67">
        <v>88.083962628329004</v>
      </c>
      <c r="T28" s="67">
        <v>231.69178866744201</v>
      </c>
      <c r="U28" s="67">
        <v>1.2686212899280001</v>
      </c>
      <c r="V28" s="67">
        <v>92.65</v>
      </c>
      <c r="W28" s="67">
        <v>44.7</v>
      </c>
      <c r="X28" s="67">
        <f t="shared" si="4"/>
        <v>2.2350000000000002E-2</v>
      </c>
      <c r="Y28" s="67">
        <v>1</v>
      </c>
      <c r="Z28" s="96">
        <f t="shared" si="5"/>
        <v>0.99842576292082064</v>
      </c>
      <c r="AA28" s="96">
        <f t="shared" si="6"/>
        <v>1.0026433555783187</v>
      </c>
      <c r="AB28" s="96">
        <f t="shared" si="7"/>
        <v>9.403180674169942</v>
      </c>
      <c r="AC28" s="76">
        <f t="shared" si="8"/>
        <v>6.550858532876655E-2</v>
      </c>
      <c r="AD28" s="162">
        <f t="shared" si="9"/>
        <v>9.397024816149889</v>
      </c>
      <c r="AE28" s="209"/>
      <c r="AF28" s="209"/>
      <c r="AG28" s="200"/>
      <c r="AH28" s="200"/>
      <c r="AI28" s="200"/>
      <c r="AJ28" s="200"/>
      <c r="AM28" s="95">
        <f t="shared" si="10"/>
        <v>9.4180068497648062</v>
      </c>
      <c r="AN28" s="95">
        <f t="shared" si="11"/>
        <v>0.22328379487576794</v>
      </c>
      <c r="AO28" s="95">
        <f t="shared" si="12"/>
        <v>9.397024816149889</v>
      </c>
      <c r="AP28" s="209"/>
      <c r="AQ28" s="209"/>
      <c r="AR28" s="200"/>
      <c r="AS28" s="200"/>
      <c r="AT28" s="200"/>
      <c r="AU28" s="200"/>
      <c r="AW28" s="71">
        <v>20.189944235142999</v>
      </c>
      <c r="AX28" s="71">
        <v>35.787459303323402</v>
      </c>
      <c r="AY28" s="73">
        <v>391.96842523152498</v>
      </c>
      <c r="AZ28" s="73">
        <v>86.2997495051671</v>
      </c>
      <c r="BA28" s="75">
        <v>1.54970198308288E-5</v>
      </c>
      <c r="BB28" s="74">
        <v>114772</v>
      </c>
      <c r="BC28" s="73">
        <v>631.37185135112998</v>
      </c>
      <c r="BD28" s="161">
        <f t="shared" si="13"/>
        <v>5065648.8505438138</v>
      </c>
      <c r="BE28" s="160">
        <v>5798.78</v>
      </c>
      <c r="BF28" s="159">
        <f t="shared" si="14"/>
        <v>391.96842523152594</v>
      </c>
      <c r="BG28" s="156">
        <f t="shared" si="15"/>
        <v>0.70463508131778774</v>
      </c>
      <c r="BH28" s="154">
        <f t="shared" si="16"/>
        <v>2.0259106954264673E-2</v>
      </c>
      <c r="BI28" s="154">
        <f t="shared" si="17"/>
        <v>-1.8816807998321243E-3</v>
      </c>
      <c r="BJ28" s="155">
        <f t="shared" si="18"/>
        <v>-1.0946407996120755E-2</v>
      </c>
      <c r="BK28" s="154">
        <f t="shared" si="19"/>
        <v>7.4310181583117935E-3</v>
      </c>
      <c r="BL28" s="158">
        <f t="shared" si="20"/>
        <v>5798.3490916052388</v>
      </c>
      <c r="BM28" s="151">
        <f t="shared" si="21"/>
        <v>391.9975546409915</v>
      </c>
      <c r="BN28" s="157">
        <f t="shared" si="22"/>
        <v>5066025.3078043424</v>
      </c>
      <c r="BO28" s="156">
        <f t="shared" si="23"/>
        <v>0.70466735501874589</v>
      </c>
      <c r="BP28" s="154">
        <f t="shared" si="24"/>
        <v>2.0255533411709412E-2</v>
      </c>
      <c r="BQ28" s="154">
        <f t="shared" si="25"/>
        <v>-1.8815324299267895E-3</v>
      </c>
      <c r="BR28" s="155">
        <f t="shared" si="26"/>
        <v>-1.0947221486137223E-2</v>
      </c>
      <c r="BS28" s="154">
        <f t="shared" si="27"/>
        <v>7.4267794956453994E-3</v>
      </c>
      <c r="BT28" s="151">
        <f t="shared" si="28"/>
        <v>5798.3493373959618</v>
      </c>
      <c r="BU28" s="153">
        <f t="shared" si="29"/>
        <v>391.99753802430342</v>
      </c>
      <c r="BV28" s="68">
        <f t="shared" si="30"/>
        <v>9.397024816149889</v>
      </c>
    </row>
    <row r="29" spans="2:74" x14ac:dyDescent="0.25">
      <c r="B29" s="99">
        <v>20</v>
      </c>
      <c r="C29" s="98">
        <v>45239.6859722222</v>
      </c>
      <c r="D29" s="73">
        <v>181.79311999999999</v>
      </c>
      <c r="E29" s="73">
        <v>0.96513103867403205</v>
      </c>
      <c r="F29" s="71">
        <v>20.07710928469</v>
      </c>
      <c r="G29" s="71">
        <v>36.305066627391</v>
      </c>
      <c r="H29" s="152">
        <f t="shared" si="0"/>
        <v>9.3973666974753378</v>
      </c>
      <c r="I29" s="73">
        <v>88.073437630257303</v>
      </c>
      <c r="J29" s="75">
        <v>1.5516606431570001E-5</v>
      </c>
      <c r="K29" s="74">
        <v>171164</v>
      </c>
      <c r="L29" s="73">
        <v>941.53178074065704</v>
      </c>
      <c r="M29" s="71">
        <v>100.198461220024</v>
      </c>
      <c r="N29" s="73">
        <v>9.41531780740657</v>
      </c>
      <c r="O29" s="151">
        <f t="shared" si="1"/>
        <v>0.19102276743180457</v>
      </c>
      <c r="Q29" s="97">
        <f t="shared" si="2"/>
        <v>20.07710928469</v>
      </c>
      <c r="R29" s="97">
        <f t="shared" si="3"/>
        <v>37.27019766606503</v>
      </c>
      <c r="S29" s="67">
        <v>88.075377749349997</v>
      </c>
      <c r="T29" s="67">
        <v>231.69657059807099</v>
      </c>
      <c r="U29" s="67">
        <v>1.2686213906149999</v>
      </c>
      <c r="V29" s="67">
        <v>92.65</v>
      </c>
      <c r="W29" s="67">
        <v>44.7</v>
      </c>
      <c r="X29" s="67">
        <f t="shared" si="4"/>
        <v>2.2350000000000002E-2</v>
      </c>
      <c r="Y29" s="67">
        <v>1</v>
      </c>
      <c r="Z29" s="96">
        <f t="shared" si="5"/>
        <v>0.99842582779847266</v>
      </c>
      <c r="AA29" s="96">
        <f t="shared" si="6"/>
        <v>1.0026431890508456</v>
      </c>
      <c r="AB29" s="96">
        <f t="shared" si="7"/>
        <v>9.4253437652030723</v>
      </c>
      <c r="AC29" s="76">
        <f t="shared" si="8"/>
        <v>0.29771178063372439</v>
      </c>
      <c r="AD29" s="162">
        <f t="shared" si="9"/>
        <v>9.3973666974753378</v>
      </c>
      <c r="AE29" s="209"/>
      <c r="AF29" s="209"/>
      <c r="AG29" s="200"/>
      <c r="AH29" s="200"/>
      <c r="AI29" s="200"/>
      <c r="AJ29" s="200"/>
      <c r="AM29" s="95">
        <f t="shared" si="10"/>
        <v>9.4402042723453388</v>
      </c>
      <c r="AN29" s="95">
        <f t="shared" si="11"/>
        <v>0.45584658180370397</v>
      </c>
      <c r="AO29" s="95">
        <f t="shared" si="12"/>
        <v>9.3973666974753378</v>
      </c>
      <c r="AP29" s="209"/>
      <c r="AQ29" s="209"/>
      <c r="AR29" s="200"/>
      <c r="AS29" s="200"/>
      <c r="AT29" s="200"/>
      <c r="AU29" s="200"/>
      <c r="AW29" s="71">
        <v>20.188729590792001</v>
      </c>
      <c r="AX29" s="71">
        <v>35.785471360952101</v>
      </c>
      <c r="AY29" s="73">
        <v>392.00578944725203</v>
      </c>
      <c r="AZ29" s="73">
        <v>86.294665891873393</v>
      </c>
      <c r="BA29" s="75">
        <v>1.5496885842294099E-5</v>
      </c>
      <c r="BB29" s="74">
        <v>114790</v>
      </c>
      <c r="BC29" s="73">
        <v>631.43203659192397</v>
      </c>
      <c r="BD29" s="161">
        <f t="shared" si="13"/>
        <v>5065877.1033467222</v>
      </c>
      <c r="BE29" s="160">
        <v>5798.78</v>
      </c>
      <c r="BF29" s="159">
        <f t="shared" si="14"/>
        <v>392.00578944725032</v>
      </c>
      <c r="BG29" s="156">
        <f t="shared" si="15"/>
        <v>0.70465464972895309</v>
      </c>
      <c r="BH29" s="154">
        <f t="shared" si="16"/>
        <v>2.0256940194396767E-2</v>
      </c>
      <c r="BI29" s="154">
        <f t="shared" si="17"/>
        <v>-1.8816013288642972E-3</v>
      </c>
      <c r="BJ29" s="155">
        <f t="shared" si="18"/>
        <v>-1.0947382609039305E-2</v>
      </c>
      <c r="BK29" s="154">
        <f t="shared" si="19"/>
        <v>7.4279562564931647E-3</v>
      </c>
      <c r="BL29" s="158">
        <f t="shared" si="20"/>
        <v>5798.3492691581896</v>
      </c>
      <c r="BM29" s="151">
        <f t="shared" si="21"/>
        <v>392.03490962884774</v>
      </c>
      <c r="BN29" s="157">
        <f t="shared" si="22"/>
        <v>5066253.4224347826</v>
      </c>
      <c r="BO29" s="156">
        <f t="shared" si="23"/>
        <v>0.70468691013125229</v>
      </c>
      <c r="BP29" s="154">
        <f t="shared" si="24"/>
        <v>2.0253368251767809E-2</v>
      </c>
      <c r="BQ29" s="154">
        <f t="shared" si="25"/>
        <v>-1.8814530271213043E-3</v>
      </c>
      <c r="BR29" s="155">
        <f t="shared" si="26"/>
        <v>-1.0948195836236895E-2</v>
      </c>
      <c r="BS29" s="154">
        <f t="shared" si="27"/>
        <v>7.4237193884096105E-3</v>
      </c>
      <c r="BT29" s="151">
        <f t="shared" si="28"/>
        <v>5798.3495148448483</v>
      </c>
      <c r="BU29" s="153">
        <f t="shared" si="29"/>
        <v>392.03489301761266</v>
      </c>
      <c r="BV29" s="68">
        <f t="shared" si="30"/>
        <v>9.3973666974753378</v>
      </c>
    </row>
    <row r="30" spans="2:74" x14ac:dyDescent="0.25">
      <c r="B30" s="99">
        <v>21</v>
      </c>
      <c r="C30" s="98">
        <v>45239.696643518502</v>
      </c>
      <c r="D30" s="73">
        <v>183.24827999999999</v>
      </c>
      <c r="E30" s="73">
        <v>0.96519869945355297</v>
      </c>
      <c r="F30" s="71">
        <v>19.988189481887002</v>
      </c>
      <c r="G30" s="71">
        <v>36.2060951517566</v>
      </c>
      <c r="H30" s="152">
        <f t="shared" si="0"/>
        <v>7.6466826823841272</v>
      </c>
      <c r="I30" s="73">
        <v>87.812728627501997</v>
      </c>
      <c r="J30" s="75">
        <v>1.5508335831597301E-5</v>
      </c>
      <c r="K30" s="74">
        <v>140118</v>
      </c>
      <c r="L30" s="73">
        <v>764.63473490719798</v>
      </c>
      <c r="M30" s="71">
        <v>100.015168606738</v>
      </c>
      <c r="N30" s="73">
        <v>7.6463473490719798</v>
      </c>
      <c r="O30" s="151">
        <f t="shared" si="1"/>
        <v>-4.3853436329969438E-3</v>
      </c>
      <c r="Q30" s="97">
        <f t="shared" si="2"/>
        <v>19.988189481887002</v>
      </c>
      <c r="R30" s="97">
        <f t="shared" si="3"/>
        <v>37.171293851210152</v>
      </c>
      <c r="S30" s="67">
        <v>87.814233014400997</v>
      </c>
      <c r="T30" s="67">
        <v>231.73033616680399</v>
      </c>
      <c r="U30" s="67">
        <v>1.2685950649560001</v>
      </c>
      <c r="V30" s="67">
        <v>92.65</v>
      </c>
      <c r="W30" s="67">
        <v>44.7</v>
      </c>
      <c r="X30" s="67">
        <f t="shared" si="4"/>
        <v>2.2350000000000002E-2</v>
      </c>
      <c r="Y30" s="67">
        <v>1</v>
      </c>
      <c r="Z30" s="96">
        <f t="shared" si="5"/>
        <v>0.99842628579035086</v>
      </c>
      <c r="AA30" s="96">
        <f t="shared" si="6"/>
        <v>1.0026355279660679</v>
      </c>
      <c r="AB30" s="96">
        <f t="shared" si="7"/>
        <v>7.6544346321294512</v>
      </c>
      <c r="AC30" s="76">
        <f t="shared" si="8"/>
        <v>0.10137663699818988</v>
      </c>
      <c r="AD30" s="162">
        <f t="shared" si="9"/>
        <v>7.6466826823841272</v>
      </c>
      <c r="AE30" s="209">
        <f>AVERAGE(AD30:AD32)</f>
        <v>7.6467582253663027</v>
      </c>
      <c r="AF30" s="209">
        <f>AVERAGE(AC30:AC32)</f>
        <v>9.9800150567375054E-2</v>
      </c>
      <c r="AG30" s="200">
        <f>STDEV(AC30:AC32)</f>
        <v>0.10858212127625015</v>
      </c>
      <c r="AH30" s="200">
        <f>AG30*4.303/SQRT(2)</f>
        <v>0.33038070082405346</v>
      </c>
      <c r="AI30" s="200">
        <v>0.25</v>
      </c>
      <c r="AJ30" s="200">
        <f>SQRT(AI30^2+AH30^2)</f>
        <v>0.41430834830714275</v>
      </c>
      <c r="AM30" s="95">
        <f t="shared" si="10"/>
        <v>7.6664995113487286</v>
      </c>
      <c r="AN30" s="95">
        <f t="shared" si="11"/>
        <v>0.2591558952780143</v>
      </c>
      <c r="AO30" s="95">
        <f t="shared" si="12"/>
        <v>7.6466826823841272</v>
      </c>
      <c r="AP30" s="209">
        <f>AVERAGE(AO30:AO32)</f>
        <v>7.6467582253663027</v>
      </c>
      <c r="AQ30" s="209">
        <f>AVERAGE(AN30:AN32)</f>
        <v>0.25759973997589586</v>
      </c>
      <c r="AR30" s="200">
        <f>STDEV(AN30:AN32)</f>
        <v>0.10874140833872774</v>
      </c>
      <c r="AS30" s="200">
        <f>AR30*4.303/SQRT(2)</f>
        <v>0.33086536045968223</v>
      </c>
      <c r="AT30" s="200">
        <v>0.25</v>
      </c>
      <c r="AU30" s="200">
        <f>SQRT(AT30^2+AS30^2)</f>
        <v>0.41469493215147379</v>
      </c>
      <c r="AW30" s="71">
        <v>20.090411490325</v>
      </c>
      <c r="AX30" s="71">
        <v>35.866897913329602</v>
      </c>
      <c r="AY30" s="73">
        <v>317.71049325833599</v>
      </c>
      <c r="AZ30" s="73">
        <v>86.628160650163593</v>
      </c>
      <c r="BA30" s="75">
        <v>1.5496619216597799E-5</v>
      </c>
      <c r="BB30" s="74">
        <v>93779</v>
      </c>
      <c r="BC30" s="73">
        <v>511.759237249048</v>
      </c>
      <c r="BD30" s="161">
        <f t="shared" si="13"/>
        <v>4121699.6490249238</v>
      </c>
      <c r="BE30" s="160">
        <v>5798.78</v>
      </c>
      <c r="BF30" s="159">
        <f t="shared" si="14"/>
        <v>317.71049325833587</v>
      </c>
      <c r="BG30" s="156">
        <f t="shared" si="15"/>
        <v>0.615076341270548</v>
      </c>
      <c r="BH30" s="154">
        <f t="shared" si="16"/>
        <v>3.079549742728923E-2</v>
      </c>
      <c r="BI30" s="154">
        <f t="shared" si="17"/>
        <v>-2.345705101876195E-3</v>
      </c>
      <c r="BJ30" s="155">
        <f t="shared" si="18"/>
        <v>-8.88715055211888E-3</v>
      </c>
      <c r="BK30" s="154">
        <f t="shared" si="19"/>
        <v>1.9562641773294157E-2</v>
      </c>
      <c r="BL30" s="158">
        <f t="shared" si="20"/>
        <v>5797.6456054413784</v>
      </c>
      <c r="BM30" s="151">
        <f t="shared" si="21"/>
        <v>317.77265798507096</v>
      </c>
      <c r="BN30" s="157">
        <f t="shared" si="22"/>
        <v>4122506.1201292868</v>
      </c>
      <c r="BO30" s="156">
        <f t="shared" si="23"/>
        <v>0.61516130905552657</v>
      </c>
      <c r="BP30" s="154">
        <f t="shared" si="24"/>
        <v>3.0785086339941835E-2</v>
      </c>
      <c r="BQ30" s="154">
        <f t="shared" si="25"/>
        <v>-2.3452121267245217E-3</v>
      </c>
      <c r="BR30" s="155">
        <f t="shared" si="26"/>
        <v>-8.8888894537203344E-3</v>
      </c>
      <c r="BS30" s="154">
        <f t="shared" si="27"/>
        <v>1.955098475949698E-2</v>
      </c>
      <c r="BT30" s="151">
        <f t="shared" si="28"/>
        <v>5797.6462814059632</v>
      </c>
      <c r="BU30" s="153">
        <f t="shared" si="29"/>
        <v>317.77262093502469</v>
      </c>
      <c r="BV30" s="68">
        <f t="shared" si="30"/>
        <v>7.6466826823841272</v>
      </c>
    </row>
    <row r="31" spans="2:74" x14ac:dyDescent="0.25">
      <c r="B31" s="99">
        <v>22</v>
      </c>
      <c r="C31" s="98">
        <v>45239.699386574102</v>
      </c>
      <c r="D31" s="73">
        <v>181.78833</v>
      </c>
      <c r="E31" s="73">
        <v>0.96522223756905901</v>
      </c>
      <c r="F31" s="71">
        <v>19.957834947906001</v>
      </c>
      <c r="G31" s="71">
        <v>36.195462716770599</v>
      </c>
      <c r="H31" s="152">
        <f t="shared" si="0"/>
        <v>7.6473806088695646</v>
      </c>
      <c r="I31" s="73">
        <v>87.799717895015505</v>
      </c>
      <c r="J31" s="75">
        <v>1.5506603480243601E-5</v>
      </c>
      <c r="K31" s="74">
        <v>139162</v>
      </c>
      <c r="L31" s="73">
        <v>765.51668635714998</v>
      </c>
      <c r="M31" s="71">
        <v>100.121375129215</v>
      </c>
      <c r="N31" s="73">
        <v>7.6551668635714902</v>
      </c>
      <c r="O31" s="151">
        <f t="shared" si="1"/>
        <v>0.10181596941696595</v>
      </c>
      <c r="Q31" s="97">
        <f t="shared" si="2"/>
        <v>19.957834947906001</v>
      </c>
      <c r="R31" s="97">
        <f t="shared" si="3"/>
        <v>37.160684954339658</v>
      </c>
      <c r="S31" s="67">
        <v>87.801314590236998</v>
      </c>
      <c r="T31" s="67">
        <v>231.71375173005899</v>
      </c>
      <c r="U31" s="67">
        <v>1.2685889553559999</v>
      </c>
      <c r="V31" s="67">
        <v>92.65</v>
      </c>
      <c r="W31" s="67">
        <v>44.7</v>
      </c>
      <c r="X31" s="67">
        <f t="shared" si="4"/>
        <v>2.2350000000000002E-2</v>
      </c>
      <c r="Y31" s="67">
        <v>1</v>
      </c>
      <c r="Z31" s="96">
        <f t="shared" si="5"/>
        <v>0.99842606086612773</v>
      </c>
      <c r="AA31" s="96">
        <f t="shared" si="6"/>
        <v>1.0026347049481625</v>
      </c>
      <c r="AB31" s="96">
        <f t="shared" si="7"/>
        <v>7.6632554579378027</v>
      </c>
      <c r="AC31" s="76">
        <f t="shared" si="8"/>
        <v>0.2075854450061787</v>
      </c>
      <c r="AD31" s="162">
        <f t="shared" si="9"/>
        <v>7.6473806088695646</v>
      </c>
      <c r="AE31" s="209"/>
      <c r="AF31" s="209"/>
      <c r="AG31" s="200"/>
      <c r="AH31" s="200"/>
      <c r="AI31" s="200"/>
      <c r="AJ31" s="200"/>
      <c r="AM31" s="95">
        <f t="shared" si="10"/>
        <v>7.6753359695859515</v>
      </c>
      <c r="AN31" s="95">
        <f t="shared" si="11"/>
        <v>0.36555471927163952</v>
      </c>
      <c r="AO31" s="95">
        <f t="shared" si="12"/>
        <v>7.6473806088695646</v>
      </c>
      <c r="AP31" s="209"/>
      <c r="AQ31" s="209"/>
      <c r="AR31" s="200"/>
      <c r="AS31" s="200"/>
      <c r="AT31" s="200"/>
      <c r="AU31" s="200"/>
      <c r="AW31" s="71">
        <v>20.048281045747999</v>
      </c>
      <c r="AX31" s="71">
        <v>35.8563959411537</v>
      </c>
      <c r="AY31" s="73">
        <v>317.75537720315299</v>
      </c>
      <c r="AZ31" s="73">
        <v>86.623843202304798</v>
      </c>
      <c r="BA31" s="75">
        <v>1.5494412680730599E-5</v>
      </c>
      <c r="BB31" s="74">
        <v>93045</v>
      </c>
      <c r="BC31" s="73">
        <v>511.83153506058397</v>
      </c>
      <c r="BD31" s="161">
        <f t="shared" si="13"/>
        <v>4122663.5031793206</v>
      </c>
      <c r="BE31" s="160">
        <v>5798.78</v>
      </c>
      <c r="BF31" s="159">
        <f t="shared" si="14"/>
        <v>317.7553772031535</v>
      </c>
      <c r="BG31" s="156">
        <f t="shared" si="15"/>
        <v>0.61517788860289946</v>
      </c>
      <c r="BH31" s="154">
        <f t="shared" si="16"/>
        <v>3.0783054906309042E-2</v>
      </c>
      <c r="BI31" s="154">
        <f t="shared" si="17"/>
        <v>-2.3454660404234255E-3</v>
      </c>
      <c r="BJ31" s="155">
        <f t="shared" si="18"/>
        <v>-8.8904923527364389E-3</v>
      </c>
      <c r="BK31" s="154">
        <f t="shared" si="19"/>
        <v>1.9547096513149176E-2</v>
      </c>
      <c r="BL31" s="158">
        <f t="shared" si="20"/>
        <v>5797.6465068768148</v>
      </c>
      <c r="BM31" s="151">
        <f t="shared" si="21"/>
        <v>317.81750129686765</v>
      </c>
      <c r="BN31" s="157">
        <f t="shared" si="22"/>
        <v>4123469.5217464264</v>
      </c>
      <c r="BO31" s="156">
        <f t="shared" si="23"/>
        <v>0.61526278886246655</v>
      </c>
      <c r="BP31" s="154">
        <f t="shared" si="24"/>
        <v>3.0772652659507387E-2</v>
      </c>
      <c r="BQ31" s="154">
        <f t="shared" si="25"/>
        <v>-2.3449735116596714E-3</v>
      </c>
      <c r="BR31" s="155">
        <f t="shared" si="26"/>
        <v>-8.8922305256194534E-3</v>
      </c>
      <c r="BS31" s="154">
        <f t="shared" si="27"/>
        <v>1.9535448622228266E-2</v>
      </c>
      <c r="BT31" s="151">
        <f t="shared" si="28"/>
        <v>5797.6471823123838</v>
      </c>
      <c r="BU31" s="153">
        <f t="shared" si="29"/>
        <v>317.81746427059852</v>
      </c>
      <c r="BV31" s="68">
        <f t="shared" si="30"/>
        <v>7.6473806088695646</v>
      </c>
    </row>
    <row r="32" spans="2:74" x14ac:dyDescent="0.25">
      <c r="B32" s="99">
        <v>23</v>
      </c>
      <c r="C32" s="98">
        <v>45239.701898148101</v>
      </c>
      <c r="D32" s="73">
        <v>181.82454999999999</v>
      </c>
      <c r="E32" s="73">
        <v>0.96521324861878399</v>
      </c>
      <c r="F32" s="71">
        <v>19.929013753473001</v>
      </c>
      <c r="G32" s="71">
        <v>36.186517138399502</v>
      </c>
      <c r="H32" s="152">
        <f t="shared" si="0"/>
        <v>7.6462113848452162</v>
      </c>
      <c r="I32" s="73">
        <v>87.790788873855604</v>
      </c>
      <c r="J32" s="75">
        <v>1.5505007705741601E-5</v>
      </c>
      <c r="K32" s="74">
        <v>138867</v>
      </c>
      <c r="L32" s="73">
        <v>763.74174994520797</v>
      </c>
      <c r="M32" s="71">
        <v>99.904508839305507</v>
      </c>
      <c r="N32" s="73">
        <v>7.6374174994520798</v>
      </c>
      <c r="O32" s="151">
        <f t="shared" si="1"/>
        <v>-0.11500970808321995</v>
      </c>
      <c r="Q32" s="97">
        <f t="shared" si="2"/>
        <v>19.929013753473001</v>
      </c>
      <c r="R32" s="97">
        <f t="shared" si="3"/>
        <v>37.151730387018283</v>
      </c>
      <c r="S32" s="67">
        <v>87.792726981306998</v>
      </c>
      <c r="T32" s="67">
        <v>231.696645256962</v>
      </c>
      <c r="U32" s="67">
        <v>1.2685832829779999</v>
      </c>
      <c r="V32" s="67">
        <v>92.65</v>
      </c>
      <c r="W32" s="67">
        <v>44.7</v>
      </c>
      <c r="X32" s="67">
        <f t="shared" si="4"/>
        <v>2.2350000000000002E-2</v>
      </c>
      <c r="Y32" s="67">
        <v>1</v>
      </c>
      <c r="Z32" s="96">
        <f t="shared" si="5"/>
        <v>0.99842582881135677</v>
      </c>
      <c r="AA32" s="96">
        <f t="shared" si="6"/>
        <v>1.0026340125047051</v>
      </c>
      <c r="AB32" s="96">
        <f t="shared" si="7"/>
        <v>7.6454802823804693</v>
      </c>
      <c r="AC32" s="76">
        <f t="shared" si="8"/>
        <v>-9.5616303022434228E-3</v>
      </c>
      <c r="AD32" s="162">
        <f t="shared" si="9"/>
        <v>7.6462113848452162</v>
      </c>
      <c r="AE32" s="209"/>
      <c r="AF32" s="209"/>
      <c r="AG32" s="200"/>
      <c r="AH32" s="200"/>
      <c r="AI32" s="200"/>
      <c r="AJ32" s="200"/>
      <c r="AM32" s="95">
        <f t="shared" si="10"/>
        <v>7.6575345526492899</v>
      </c>
      <c r="AN32" s="95">
        <f t="shared" si="11"/>
        <v>0.14808860537803373</v>
      </c>
      <c r="AO32" s="95">
        <f t="shared" si="12"/>
        <v>7.6462113848452162</v>
      </c>
      <c r="AP32" s="209"/>
      <c r="AQ32" s="209"/>
      <c r="AR32" s="200"/>
      <c r="AS32" s="200"/>
      <c r="AT32" s="200"/>
      <c r="AU32" s="200"/>
      <c r="AW32" s="71">
        <v>20.020773384363999</v>
      </c>
      <c r="AX32" s="71">
        <v>35.847616986478897</v>
      </c>
      <c r="AY32" s="73">
        <v>317.73988085581601</v>
      </c>
      <c r="AZ32" s="73">
        <v>86.614821627370006</v>
      </c>
      <c r="BA32" s="75">
        <v>1.5492883697334499E-5</v>
      </c>
      <c r="BB32" s="74">
        <v>93059</v>
      </c>
      <c r="BC32" s="73">
        <v>511.80657397474698</v>
      </c>
      <c r="BD32" s="161">
        <f t="shared" si="13"/>
        <v>4122439.9091446525</v>
      </c>
      <c r="BE32" s="160">
        <v>5798.78</v>
      </c>
      <c r="BF32" s="159">
        <f t="shared" si="14"/>
        <v>317.73988085581607</v>
      </c>
      <c r="BG32" s="156">
        <f t="shared" si="15"/>
        <v>0.61515433385758933</v>
      </c>
      <c r="BH32" s="154">
        <f t="shared" si="16"/>
        <v>3.0785940991815534E-2</v>
      </c>
      <c r="BI32" s="154">
        <f t="shared" si="17"/>
        <v>-2.3458332402387719E-3</v>
      </c>
      <c r="BJ32" s="155">
        <f t="shared" si="18"/>
        <v>-8.8912549208513599E-3</v>
      </c>
      <c r="BK32" s="154">
        <f t="shared" si="19"/>
        <v>1.9548852830725404E-2</v>
      </c>
      <c r="BL32" s="158">
        <f t="shared" si="20"/>
        <v>5797.6464050318218</v>
      </c>
      <c r="BM32" s="151">
        <f t="shared" si="21"/>
        <v>317.80200750255585</v>
      </c>
      <c r="BN32" s="157">
        <f t="shared" si="22"/>
        <v>4123245.9564285232</v>
      </c>
      <c r="BO32" s="156">
        <f t="shared" si="23"/>
        <v>0.6152392417462379</v>
      </c>
      <c r="BP32" s="154">
        <f t="shared" si="24"/>
        <v>3.0775537678688524E-2</v>
      </c>
      <c r="BQ32" s="154">
        <f t="shared" si="25"/>
        <v>-2.3453405885677367E-3</v>
      </c>
      <c r="BR32" s="155">
        <f t="shared" si="26"/>
        <v>-8.892993399043184E-3</v>
      </c>
      <c r="BS32" s="154">
        <f t="shared" si="27"/>
        <v>1.9537203691077601E-2</v>
      </c>
      <c r="BT32" s="151">
        <f t="shared" si="28"/>
        <v>5797.6470805398021</v>
      </c>
      <c r="BU32" s="153">
        <f t="shared" si="29"/>
        <v>317.8019704741219</v>
      </c>
      <c r="BV32" s="68">
        <f t="shared" si="30"/>
        <v>7.6462113848452162</v>
      </c>
    </row>
    <row r="33" spans="1:74" x14ac:dyDescent="0.25">
      <c r="B33" s="99">
        <v>24</v>
      </c>
      <c r="C33" s="98">
        <v>45239.706006944398</v>
      </c>
      <c r="D33" s="73">
        <v>181.79955000000001</v>
      </c>
      <c r="E33" s="73">
        <v>0.96530479558010995</v>
      </c>
      <c r="F33" s="71">
        <v>19.9856399696531</v>
      </c>
      <c r="G33" s="71">
        <v>36.1496359809924</v>
      </c>
      <c r="H33" s="152">
        <f t="shared" si="0"/>
        <v>6.2561093431172745</v>
      </c>
      <c r="I33" s="73">
        <v>87.628873818483697</v>
      </c>
      <c r="J33" s="75">
        <v>1.5505570508857598E-5</v>
      </c>
      <c r="K33" s="74">
        <v>113730</v>
      </c>
      <c r="L33" s="73">
        <v>625.57910621891006</v>
      </c>
      <c r="M33" s="71">
        <v>100.02631621324301</v>
      </c>
      <c r="N33" s="73">
        <v>6.2557910621891004</v>
      </c>
      <c r="O33" s="151">
        <f t="shared" si="1"/>
        <v>-5.0875218241550942E-3</v>
      </c>
      <c r="Q33" s="97">
        <f t="shared" si="2"/>
        <v>19.9856399696531</v>
      </c>
      <c r="R33" s="97">
        <f t="shared" si="3"/>
        <v>37.11494077657251</v>
      </c>
      <c r="S33" s="67">
        <v>87.630714945839003</v>
      </c>
      <c r="T33" s="67">
        <v>231.79631709130399</v>
      </c>
      <c r="U33" s="67">
        <v>1.26858813686</v>
      </c>
      <c r="V33" s="67">
        <v>92.65</v>
      </c>
      <c r="W33" s="67">
        <v>44.7</v>
      </c>
      <c r="X33" s="67">
        <f t="shared" si="4"/>
        <v>2.2350000000000002E-2</v>
      </c>
      <c r="Y33" s="67">
        <v>1</v>
      </c>
      <c r="Z33" s="96">
        <f t="shared" si="5"/>
        <v>0.99842718017081988</v>
      </c>
      <c r="AA33" s="96">
        <f t="shared" si="6"/>
        <v>1.0026311576836142</v>
      </c>
      <c r="AB33" s="96">
        <f t="shared" si="7"/>
        <v>6.2623859141081635</v>
      </c>
      <c r="AC33" s="76">
        <f t="shared" si="8"/>
        <v>0.10032706665835693</v>
      </c>
      <c r="AD33" s="162">
        <f t="shared" si="9"/>
        <v>6.2561093431172745</v>
      </c>
      <c r="AE33" s="209">
        <f>AVERAGE(AD33:AD35)</f>
        <v>6.256302474221175</v>
      </c>
      <c r="AF33" s="209">
        <f>AVERAGE(AC33:AC35)</f>
        <v>0.11257521244027779</v>
      </c>
      <c r="AG33" s="200">
        <f>STDEV(AC33:AC35)</f>
        <v>1.5464757964831335E-2</v>
      </c>
      <c r="AH33" s="200">
        <f>AG33*4.303/SQRT(2)</f>
        <v>4.7054317178944934E-2</v>
      </c>
      <c r="AI33" s="200">
        <v>0.25</v>
      </c>
      <c r="AJ33" s="200">
        <f>SQRT(AI33^2+AH33^2)</f>
        <v>0.25438967896747844</v>
      </c>
      <c r="AM33" s="95">
        <f t="shared" si="10"/>
        <v>6.2722510349094645</v>
      </c>
      <c r="AN33" s="95">
        <f t="shared" si="11"/>
        <v>0.25801486046512906</v>
      </c>
      <c r="AO33" s="95">
        <f t="shared" si="12"/>
        <v>6.2561093431172745</v>
      </c>
      <c r="AP33" s="209">
        <f>AVERAGE(AO33:AO35)</f>
        <v>6.256302474221175</v>
      </c>
      <c r="AQ33" s="209">
        <f>AVERAGE(AN33:AN35)</f>
        <v>0.27029706298654305</v>
      </c>
      <c r="AR33" s="200">
        <f>STDEV(AN33:AN35)</f>
        <v>1.5493700036148762E-2</v>
      </c>
      <c r="AS33" s="200">
        <f>AR33*4.303/SQRT(2)</f>
        <v>4.7142378654377183E-2</v>
      </c>
      <c r="AT33" s="200">
        <v>0.25</v>
      </c>
      <c r="AU33" s="200">
        <f>SQRT(AT33^2+AS33^2)</f>
        <v>0.25440598236911149</v>
      </c>
      <c r="AW33" s="71">
        <v>20.033433577962001</v>
      </c>
      <c r="AX33" s="71">
        <v>35.927297673381197</v>
      </c>
      <c r="AY33" s="73">
        <v>259.19138496229101</v>
      </c>
      <c r="AZ33" s="73">
        <v>86.866015057076098</v>
      </c>
      <c r="BA33" s="75">
        <v>1.54971046788978E-5</v>
      </c>
      <c r="BB33" s="74">
        <v>75901</v>
      </c>
      <c r="BC33" s="73">
        <v>417.498283136564</v>
      </c>
      <c r="BD33" s="161">
        <f t="shared" si="13"/>
        <v>3371650.464726869</v>
      </c>
      <c r="BE33" s="160">
        <v>5798.78</v>
      </c>
      <c r="BF33" s="159">
        <f t="shared" si="14"/>
        <v>259.19138496229044</v>
      </c>
      <c r="BG33" s="156">
        <f t="shared" si="15"/>
        <v>0.52784254545786102</v>
      </c>
      <c r="BH33" s="154">
        <f t="shared" si="16"/>
        <v>4.1587332039175404E-2</v>
      </c>
      <c r="BI33" s="154">
        <f t="shared" si="17"/>
        <v>-2.9155438160385666E-3</v>
      </c>
      <c r="BJ33" s="155">
        <f t="shared" si="18"/>
        <v>-7.258209432117772E-3</v>
      </c>
      <c r="BK33" s="154">
        <f t="shared" si="19"/>
        <v>3.141357879101906E-2</v>
      </c>
      <c r="BL33" s="158">
        <f t="shared" si="20"/>
        <v>5796.9583956757815</v>
      </c>
      <c r="BM33" s="151">
        <f t="shared" si="21"/>
        <v>259.27283183760346</v>
      </c>
      <c r="BN33" s="157">
        <f t="shared" si="22"/>
        <v>3372709.953625543</v>
      </c>
      <c r="BO33" s="156">
        <f t="shared" si="23"/>
        <v>0.52797899432997797</v>
      </c>
      <c r="BP33" s="154">
        <f t="shared" si="24"/>
        <v>4.1570509095206959E-2</v>
      </c>
      <c r="BQ33" s="154">
        <f t="shared" si="25"/>
        <v>-2.9145459158990382E-3</v>
      </c>
      <c r="BR33" s="155">
        <f t="shared" si="26"/>
        <v>-7.2604902119311121E-3</v>
      </c>
      <c r="BS33" s="154">
        <f t="shared" si="27"/>
        <v>3.1395472967376804E-2</v>
      </c>
      <c r="BT33" s="151">
        <f t="shared" si="28"/>
        <v>5796.9594455926617</v>
      </c>
      <c r="BU33" s="153">
        <f t="shared" si="29"/>
        <v>259.272784879379</v>
      </c>
      <c r="BV33" s="68">
        <f t="shared" si="30"/>
        <v>6.2561093431172745</v>
      </c>
    </row>
    <row r="34" spans="1:74" x14ac:dyDescent="0.25">
      <c r="B34" s="99">
        <v>25</v>
      </c>
      <c r="C34" s="98">
        <v>45239.710057870398</v>
      </c>
      <c r="D34" s="73">
        <v>181.78471999999999</v>
      </c>
      <c r="E34" s="73">
        <v>0.96528685000000003</v>
      </c>
      <c r="F34" s="71">
        <v>19.957457581802</v>
      </c>
      <c r="G34" s="71">
        <v>36.137064420862899</v>
      </c>
      <c r="H34" s="152">
        <f t="shared" si="0"/>
        <v>6.2564113460362476</v>
      </c>
      <c r="I34" s="73">
        <v>87.607754517603595</v>
      </c>
      <c r="J34" s="75">
        <v>1.5503832857803801E-5</v>
      </c>
      <c r="K34" s="74">
        <v>113760</v>
      </c>
      <c r="L34" s="73">
        <v>625.795171343334</v>
      </c>
      <c r="M34" s="71">
        <v>100.056014849017</v>
      </c>
      <c r="N34" s="73">
        <v>6.2579517134333402</v>
      </c>
      <c r="O34" s="151">
        <f t="shared" si="1"/>
        <v>2.4620622140974217E-2</v>
      </c>
      <c r="Q34" s="97">
        <f t="shared" si="2"/>
        <v>19.957457581802</v>
      </c>
      <c r="R34" s="97">
        <f t="shared" si="3"/>
        <v>37.102351270862897</v>
      </c>
      <c r="S34" s="67">
        <v>87.609678944563996</v>
      </c>
      <c r="T34" s="67">
        <v>231.784282531298</v>
      </c>
      <c r="U34" s="67">
        <v>1.2685822239860001</v>
      </c>
      <c r="V34" s="67">
        <v>92.65</v>
      </c>
      <c r="W34" s="67">
        <v>44.7</v>
      </c>
      <c r="X34" s="67">
        <f t="shared" si="4"/>
        <v>2.2350000000000002E-2</v>
      </c>
      <c r="Y34" s="67">
        <v>1</v>
      </c>
      <c r="Z34" s="96">
        <f t="shared" si="5"/>
        <v>0.998427017097541</v>
      </c>
      <c r="AA34" s="96">
        <f t="shared" si="6"/>
        <v>1.0026301845737524</v>
      </c>
      <c r="AB34" s="96">
        <f t="shared" si="7"/>
        <v>6.2645417398245158</v>
      </c>
      <c r="AC34" s="76">
        <f t="shared" si="8"/>
        <v>0.12995299283540879</v>
      </c>
      <c r="AD34" s="162">
        <f t="shared" si="9"/>
        <v>6.2564113460362476</v>
      </c>
      <c r="AE34" s="209"/>
      <c r="AF34" s="209"/>
      <c r="AG34" s="200"/>
      <c r="AH34" s="200"/>
      <c r="AI34" s="200"/>
      <c r="AJ34" s="200"/>
      <c r="AM34" s="95">
        <f t="shared" si="10"/>
        <v>6.2744112814933004</v>
      </c>
      <c r="AN34" s="95">
        <f t="shared" si="11"/>
        <v>0.28770383629677221</v>
      </c>
      <c r="AO34" s="95">
        <f t="shared" si="12"/>
        <v>6.2564113460362476</v>
      </c>
      <c r="AP34" s="209"/>
      <c r="AQ34" s="209"/>
      <c r="AR34" s="200"/>
      <c r="AS34" s="200"/>
      <c r="AT34" s="200"/>
      <c r="AU34" s="200"/>
      <c r="AW34" s="71">
        <v>19.952601940695001</v>
      </c>
      <c r="AX34" s="71">
        <v>35.914467642442503</v>
      </c>
      <c r="AY34" s="73">
        <v>259.15788756149198</v>
      </c>
      <c r="AZ34" s="73">
        <v>86.881453113599704</v>
      </c>
      <c r="BA34" s="75">
        <v>1.5493208623352401E-5</v>
      </c>
      <c r="BB34" s="74">
        <v>75885</v>
      </c>
      <c r="BC34" s="73">
        <v>417.44432645384097</v>
      </c>
      <c r="BD34" s="161">
        <f t="shared" si="13"/>
        <v>3372661.7655100417</v>
      </c>
      <c r="BE34" s="160">
        <v>5798.78</v>
      </c>
      <c r="BF34" s="159">
        <f t="shared" si="14"/>
        <v>259.1578875614918</v>
      </c>
      <c r="BG34" s="156">
        <f t="shared" si="15"/>
        <v>0.52797278923601809</v>
      </c>
      <c r="BH34" s="154">
        <f t="shared" si="16"/>
        <v>4.1571274146613608E-2</v>
      </c>
      <c r="BI34" s="154">
        <f t="shared" si="17"/>
        <v>-2.9154362895491793E-3</v>
      </c>
      <c r="BJ34" s="155">
        <f t="shared" si="18"/>
        <v>-7.261089875991303E-3</v>
      </c>
      <c r="BK34" s="154">
        <f t="shared" si="19"/>
        <v>3.1394747981073126E-2</v>
      </c>
      <c r="BL34" s="158">
        <f t="shared" si="20"/>
        <v>5796.9594876330229</v>
      </c>
      <c r="BM34" s="151">
        <f t="shared" si="21"/>
        <v>259.2392750785707</v>
      </c>
      <c r="BN34" s="157">
        <f t="shared" si="22"/>
        <v>3373720.9366957024</v>
      </c>
      <c r="BO34" s="156">
        <f t="shared" si="23"/>
        <v>0.52810915630127575</v>
      </c>
      <c r="BP34" s="154">
        <f t="shared" si="24"/>
        <v>4.1554460499513529E-2</v>
      </c>
      <c r="BQ34" s="154">
        <f t="shared" si="25"/>
        <v>-2.9144390147185666E-3</v>
      </c>
      <c r="BR34" s="155">
        <f t="shared" si="26"/>
        <v>-7.263370192758252E-3</v>
      </c>
      <c r="BS34" s="154">
        <f t="shared" si="27"/>
        <v>3.1376651292036713E-2</v>
      </c>
      <c r="BT34" s="151">
        <f t="shared" si="28"/>
        <v>5796.9605370202071</v>
      </c>
      <c r="BU34" s="153">
        <f t="shared" si="29"/>
        <v>259.23922815012071</v>
      </c>
      <c r="BV34" s="68">
        <f t="shared" si="30"/>
        <v>6.2564113460362476</v>
      </c>
    </row>
    <row r="35" spans="1:74" x14ac:dyDescent="0.25">
      <c r="B35" s="99">
        <v>26</v>
      </c>
      <c r="C35" s="98">
        <v>45239.712627314802</v>
      </c>
      <c r="D35" s="73">
        <v>181.76704000000001</v>
      </c>
      <c r="E35" s="73">
        <v>0.96523969060773396</v>
      </c>
      <c r="F35" s="71">
        <v>19.939087232319999</v>
      </c>
      <c r="G35" s="71">
        <v>36.129423786843503</v>
      </c>
      <c r="H35" s="152">
        <f t="shared" si="0"/>
        <v>6.2563867335100012</v>
      </c>
      <c r="I35" s="73">
        <v>87.595554336518504</v>
      </c>
      <c r="J35" s="75">
        <v>1.5502722616098501E-5</v>
      </c>
      <c r="K35" s="74">
        <v>113723</v>
      </c>
      <c r="L35" s="73">
        <v>625.652483530567</v>
      </c>
      <c r="M35" s="71">
        <v>100.03358893558701</v>
      </c>
      <c r="N35" s="73">
        <v>6.2565248353056697</v>
      </c>
      <c r="O35" s="151">
        <f t="shared" si="1"/>
        <v>2.2073730661316361E-3</v>
      </c>
      <c r="Q35" s="97">
        <f t="shared" si="2"/>
        <v>19.939087232319999</v>
      </c>
      <c r="R35" s="97">
        <f t="shared" si="3"/>
        <v>37.094663477451235</v>
      </c>
      <c r="S35" s="67">
        <v>87.597667631221995</v>
      </c>
      <c r="T35" s="67">
        <v>231.775810199419</v>
      </c>
      <c r="U35" s="67">
        <v>1.2685784311020001</v>
      </c>
      <c r="V35" s="67">
        <v>92.65</v>
      </c>
      <c r="W35" s="67">
        <v>44.7</v>
      </c>
      <c r="X35" s="67">
        <f t="shared" si="4"/>
        <v>2.2350000000000002E-2</v>
      </c>
      <c r="Y35" s="67">
        <v>1</v>
      </c>
      <c r="Z35" s="96">
        <f t="shared" si="5"/>
        <v>0.99842690227872555</v>
      </c>
      <c r="AA35" s="96">
        <f t="shared" si="6"/>
        <v>1.0026295931463851</v>
      </c>
      <c r="AB35" s="96">
        <f t="shared" si="7"/>
        <v>6.263108944386917</v>
      </c>
      <c r="AC35" s="76">
        <f t="shared" si="8"/>
        <v>0.10744557782706766</v>
      </c>
      <c r="AD35" s="162">
        <f t="shared" si="9"/>
        <v>6.2563867335100012</v>
      </c>
      <c r="AE35" s="209"/>
      <c r="AF35" s="209"/>
      <c r="AG35" s="200"/>
      <c r="AH35" s="200"/>
      <c r="AI35" s="200"/>
      <c r="AJ35" s="200"/>
      <c r="AM35" s="95">
        <f t="shared" si="10"/>
        <v>6.2729769501327777</v>
      </c>
      <c r="AN35" s="95">
        <f t="shared" si="11"/>
        <v>0.26517249219772787</v>
      </c>
      <c r="AO35" s="95">
        <f t="shared" si="12"/>
        <v>6.2563867335100012</v>
      </c>
      <c r="AP35" s="209"/>
      <c r="AQ35" s="209"/>
      <c r="AR35" s="200"/>
      <c r="AS35" s="200"/>
      <c r="AT35" s="200"/>
      <c r="AU35" s="200"/>
      <c r="AW35" s="71">
        <v>19.930755846518</v>
      </c>
      <c r="AX35" s="71">
        <v>35.906656236006498</v>
      </c>
      <c r="AY35" s="73">
        <v>259.18651063690498</v>
      </c>
      <c r="AZ35" s="73">
        <v>86.871521560697104</v>
      </c>
      <c r="BA35" s="75">
        <v>1.5491954578982501E-5</v>
      </c>
      <c r="BB35" s="74">
        <v>75886</v>
      </c>
      <c r="BC35" s="73">
        <v>417.49043170863098</v>
      </c>
      <c r="BD35" s="161">
        <f t="shared" si="13"/>
        <v>3372921.6968888212</v>
      </c>
      <c r="BE35" s="160">
        <v>5798.78</v>
      </c>
      <c r="BF35" s="159">
        <f t="shared" si="14"/>
        <v>259.18651063690493</v>
      </c>
      <c r="BG35" s="156">
        <f t="shared" si="15"/>
        <v>0.52800625906532561</v>
      </c>
      <c r="BH35" s="154">
        <f t="shared" si="16"/>
        <v>4.1567147494226429E-2</v>
      </c>
      <c r="BI35" s="154">
        <f t="shared" si="17"/>
        <v>-2.9154187479372468E-3</v>
      </c>
      <c r="BJ35" s="155">
        <f t="shared" si="18"/>
        <v>-7.2626092813581266E-3</v>
      </c>
      <c r="BK35" s="154">
        <f t="shared" si="19"/>
        <v>3.1389119464931052E-2</v>
      </c>
      <c r="BL35" s="158">
        <f t="shared" si="20"/>
        <v>5796.9598140182916</v>
      </c>
      <c r="BM35" s="151">
        <f t="shared" si="21"/>
        <v>259.26789254543024</v>
      </c>
      <c r="BN35" s="157">
        <f t="shared" si="22"/>
        <v>3373980.7597402199</v>
      </c>
      <c r="BO35" s="156">
        <f t="shared" si="23"/>
        <v>0.52814260167857241</v>
      </c>
      <c r="BP35" s="154">
        <f t="shared" si="24"/>
        <v>4.1550336659650043E-2</v>
      </c>
      <c r="BQ35" s="154">
        <f t="shared" si="25"/>
        <v>-2.914421666135775E-3</v>
      </c>
      <c r="BR35" s="155">
        <f t="shared" si="26"/>
        <v>-7.2648896662544631E-3</v>
      </c>
      <c r="BS35" s="154">
        <f t="shared" si="27"/>
        <v>3.1371025327259806E-2</v>
      </c>
      <c r="BT35" s="151">
        <f t="shared" si="28"/>
        <v>5796.9608632575273</v>
      </c>
      <c r="BU35" s="153">
        <f t="shared" si="29"/>
        <v>259.26784561841936</v>
      </c>
      <c r="BV35" s="68">
        <f t="shared" si="30"/>
        <v>6.2563867335100012</v>
      </c>
    </row>
    <row r="36" spans="1:74" x14ac:dyDescent="0.25">
      <c r="B36" s="99">
        <v>27</v>
      </c>
      <c r="C36" s="98">
        <v>45239.716550925899</v>
      </c>
      <c r="D36" s="73">
        <v>183.10386</v>
      </c>
      <c r="E36" s="73">
        <v>0.96523247252747202</v>
      </c>
      <c r="F36" s="71">
        <v>20.118590519521</v>
      </c>
      <c r="G36" s="71">
        <v>36.117216322858397</v>
      </c>
      <c r="H36" s="152">
        <f t="shared" si="0"/>
        <v>4.5984771818714316</v>
      </c>
      <c r="I36" s="73">
        <v>87.426760270329694</v>
      </c>
      <c r="J36" s="75">
        <v>1.5509446625849301E-5</v>
      </c>
      <c r="K36" s="74">
        <v>84186</v>
      </c>
      <c r="L36" s="73">
        <v>459.771847518671</v>
      </c>
      <c r="M36" s="71">
        <v>100.03134310418299</v>
      </c>
      <c r="N36" s="73">
        <v>4.59771847518671</v>
      </c>
      <c r="O36" s="151">
        <f t="shared" si="1"/>
        <v>-1.6499085560600674E-2</v>
      </c>
      <c r="Q36" s="97">
        <f t="shared" si="2"/>
        <v>20.118590519521</v>
      </c>
      <c r="R36" s="97">
        <f t="shared" si="3"/>
        <v>37.082448795385872</v>
      </c>
      <c r="S36" s="67">
        <v>87.428380465977995</v>
      </c>
      <c r="T36" s="67">
        <v>231.96436028623401</v>
      </c>
      <c r="U36" s="67">
        <v>1.268605398524</v>
      </c>
      <c r="V36" s="67">
        <v>92.65</v>
      </c>
      <c r="W36" s="67">
        <v>44.7</v>
      </c>
      <c r="X36" s="67">
        <f t="shared" si="4"/>
        <v>2.2350000000000002E-2</v>
      </c>
      <c r="Y36" s="67">
        <v>1</v>
      </c>
      <c r="Z36" s="96">
        <f t="shared" si="5"/>
        <v>0.99842945458044619</v>
      </c>
      <c r="AA36" s="96">
        <f t="shared" si="6"/>
        <v>1.002628648222547</v>
      </c>
      <c r="AB36" s="96">
        <f t="shared" si="7"/>
        <v>4.6025643527191944</v>
      </c>
      <c r="AC36" s="76">
        <f t="shared" si="8"/>
        <v>8.8880963982503253E-2</v>
      </c>
      <c r="AD36" s="162">
        <f t="shared" si="9"/>
        <v>4.5984771818714316</v>
      </c>
      <c r="AE36" s="209">
        <f>AVERAGE(AD36:AD38)</f>
        <v>4.5961922939520612</v>
      </c>
      <c r="AF36" s="209">
        <f>AVERAGE(AC36:AC38)</f>
        <v>0.11461247739519705</v>
      </c>
      <c r="AG36" s="200">
        <f>STDEV(AC36:AC38)</f>
        <v>3.2922148426462988E-2</v>
      </c>
      <c r="AH36" s="200">
        <f>AG36*4.303/SQRT(2)</f>
        <v>0.10017157835861334</v>
      </c>
      <c r="AI36" s="200">
        <v>0.25</v>
      </c>
      <c r="AJ36" s="200">
        <f>SQRT(AI36^2+AH36^2)</f>
        <v>0.26932201007503231</v>
      </c>
      <c r="AM36" s="95">
        <f t="shared" si="10"/>
        <v>4.6098042596842816</v>
      </c>
      <c r="AN36" s="95">
        <f t="shared" si="11"/>
        <v>0.24632236640218086</v>
      </c>
      <c r="AO36" s="95">
        <f t="shared" si="12"/>
        <v>4.5984771818714316</v>
      </c>
      <c r="AP36" s="209">
        <f>AVERAGE(AO36:AO38)</f>
        <v>4.5961922939520612</v>
      </c>
      <c r="AQ36" s="209">
        <f>AVERAGE(AN36:AN38)</f>
        <v>0.27212837933992096</v>
      </c>
      <c r="AR36" s="200">
        <f>STDEV(AN36:AN38)</f>
        <v>3.3013950162051324E-2</v>
      </c>
      <c r="AS36" s="200">
        <f>AR36*4.303/SQRT(2)</f>
        <v>0.10045090170746722</v>
      </c>
      <c r="AT36" s="200">
        <v>0.25</v>
      </c>
      <c r="AU36" s="200">
        <f>SQRT(AT36^2+AS36^2)</f>
        <v>0.26942602631119966</v>
      </c>
      <c r="AW36" s="71">
        <v>19.988643783200999</v>
      </c>
      <c r="AX36" s="71">
        <v>36.002574134278099</v>
      </c>
      <c r="AY36" s="73">
        <v>189.876800873729</v>
      </c>
      <c r="AZ36" s="73">
        <v>87.143875483279302</v>
      </c>
      <c r="BA36" s="75">
        <v>1.5498787275755699E-5</v>
      </c>
      <c r="BB36" s="74">
        <v>56002</v>
      </c>
      <c r="BC36" s="73">
        <v>305.84827649182301</v>
      </c>
      <c r="BD36" s="161">
        <f t="shared" si="13"/>
        <v>2477614.3592191841</v>
      </c>
      <c r="BE36" s="160">
        <v>5798.78</v>
      </c>
      <c r="BF36" s="159">
        <f t="shared" si="14"/>
        <v>189.87680087372911</v>
      </c>
      <c r="BG36" s="156">
        <f t="shared" si="15"/>
        <v>0.39403370934565685</v>
      </c>
      <c r="BH36" s="154">
        <f t="shared" si="16"/>
        <v>5.727031641196164E-2</v>
      </c>
      <c r="BI36" s="154">
        <f t="shared" si="17"/>
        <v>-4.096913410973191E-3</v>
      </c>
      <c r="BJ36" s="155">
        <f t="shared" si="18"/>
        <v>-5.3233303603088967E-3</v>
      </c>
      <c r="BK36" s="154">
        <f t="shared" si="19"/>
        <v>4.7850072640679552E-2</v>
      </c>
      <c r="BL36" s="158">
        <f t="shared" si="20"/>
        <v>5796.0052795577267</v>
      </c>
      <c r="BM36" s="151">
        <f t="shared" si="21"/>
        <v>189.96770055643918</v>
      </c>
      <c r="BN36" s="157">
        <f t="shared" si="22"/>
        <v>2478800.4670432815</v>
      </c>
      <c r="BO36" s="156">
        <f t="shared" si="23"/>
        <v>0.39424156930525978</v>
      </c>
      <c r="BP36" s="154">
        <f t="shared" si="24"/>
        <v>5.7247799018180112E-2</v>
      </c>
      <c r="BQ36" s="154">
        <f t="shared" si="25"/>
        <v>-4.0947210058933639E-3</v>
      </c>
      <c r="BR36" s="155">
        <f t="shared" si="26"/>
        <v>-5.3258787971821025E-3</v>
      </c>
      <c r="BS36" s="154">
        <f t="shared" si="27"/>
        <v>4.7827199215104643E-2</v>
      </c>
      <c r="BT36" s="151">
        <f t="shared" si="28"/>
        <v>5796.0066059373539</v>
      </c>
      <c r="BU36" s="153">
        <f t="shared" si="29"/>
        <v>189.96765708352672</v>
      </c>
      <c r="BV36" s="68">
        <f t="shared" si="30"/>
        <v>4.5984771818714316</v>
      </c>
    </row>
    <row r="37" spans="1:74" x14ac:dyDescent="0.25">
      <c r="B37" s="99">
        <v>28</v>
      </c>
      <c r="C37" s="98">
        <v>45239.719050925902</v>
      </c>
      <c r="D37" s="73">
        <v>181.79683</v>
      </c>
      <c r="E37" s="73">
        <v>0.96524776923077005</v>
      </c>
      <c r="F37" s="71">
        <v>20.091131626283001</v>
      </c>
      <c r="G37" s="71">
        <v>36.109737532184198</v>
      </c>
      <c r="H37" s="152">
        <f t="shared" si="0"/>
        <v>4.5961048466409924</v>
      </c>
      <c r="I37" s="73">
        <v>87.421462825700104</v>
      </c>
      <c r="J37" s="75">
        <v>1.55079728144397E-5</v>
      </c>
      <c r="K37" s="74">
        <v>83554</v>
      </c>
      <c r="L37" s="73">
        <v>459.60097324029198</v>
      </c>
      <c r="M37" s="71">
        <v>100.04580377094101</v>
      </c>
      <c r="N37" s="73">
        <v>4.5960097324029201</v>
      </c>
      <c r="O37" s="151">
        <f t="shared" si="1"/>
        <v>-2.0694531836410227E-3</v>
      </c>
      <c r="Q37" s="97">
        <f t="shared" si="2"/>
        <v>20.091131626283001</v>
      </c>
      <c r="R37" s="97">
        <f t="shared" si="3"/>
        <v>37.074985301414969</v>
      </c>
      <c r="S37" s="67">
        <v>87.423625340892997</v>
      </c>
      <c r="T37" s="67">
        <v>231.94685461027501</v>
      </c>
      <c r="U37" s="67">
        <v>1.268600270389</v>
      </c>
      <c r="V37" s="67">
        <v>92.65</v>
      </c>
      <c r="W37" s="67">
        <v>44.7</v>
      </c>
      <c r="X37" s="67">
        <f t="shared" si="4"/>
        <v>2.2350000000000002E-2</v>
      </c>
      <c r="Y37" s="67">
        <v>1</v>
      </c>
      <c r="Z37" s="96">
        <f t="shared" si="5"/>
        <v>0.99842921787700922</v>
      </c>
      <c r="AA37" s="96">
        <f t="shared" si="6"/>
        <v>1.0026280693245173</v>
      </c>
      <c r="AB37" s="96">
        <f t="shared" si="7"/>
        <v>4.6008500617715624</v>
      </c>
      <c r="AC37" s="76">
        <f t="shared" si="8"/>
        <v>0.10324427507431662</v>
      </c>
      <c r="AD37" s="162">
        <f t="shared" si="9"/>
        <v>4.5961048466409924</v>
      </c>
      <c r="AE37" s="209"/>
      <c r="AF37" s="209"/>
      <c r="AG37" s="200"/>
      <c r="AH37" s="200"/>
      <c r="AI37" s="200"/>
      <c r="AJ37" s="200"/>
      <c r="AM37" s="95">
        <f t="shared" si="10"/>
        <v>4.6080883645958313</v>
      </c>
      <c r="AN37" s="95">
        <f t="shared" si="11"/>
        <v>0.26073204060166039</v>
      </c>
      <c r="AO37" s="95">
        <f t="shared" si="12"/>
        <v>4.5961048466409924</v>
      </c>
      <c r="AP37" s="209"/>
      <c r="AQ37" s="209"/>
      <c r="AR37" s="200"/>
      <c r="AS37" s="200"/>
      <c r="AT37" s="200"/>
      <c r="AU37" s="200"/>
      <c r="AW37" s="71">
        <v>19.999790794816001</v>
      </c>
      <c r="AX37" s="71">
        <v>35.995156662482202</v>
      </c>
      <c r="AY37" s="73">
        <v>189.84863765721099</v>
      </c>
      <c r="AZ37" s="73">
        <v>87.111818054757293</v>
      </c>
      <c r="BA37" s="75">
        <v>1.5498897249671201E-5</v>
      </c>
      <c r="BB37" s="74">
        <v>55594</v>
      </c>
      <c r="BC37" s="73">
        <v>305.802911964967</v>
      </c>
      <c r="BD37" s="161">
        <f t="shared" si="13"/>
        <v>2476317.9999495978</v>
      </c>
      <c r="BE37" s="160">
        <v>5798.78</v>
      </c>
      <c r="BF37" s="159">
        <f t="shared" si="14"/>
        <v>189.84863765721087</v>
      </c>
      <c r="BG37" s="156">
        <f t="shared" si="15"/>
        <v>0.39380641448194942</v>
      </c>
      <c r="BH37" s="154">
        <f t="shared" si="16"/>
        <v>5.7294930747491611E-2</v>
      </c>
      <c r="BI37" s="154">
        <f t="shared" si="17"/>
        <v>-4.0991010767776033E-3</v>
      </c>
      <c r="BJ37" s="155">
        <f t="shared" si="18"/>
        <v>-5.3216483627398009E-3</v>
      </c>
      <c r="BK37" s="154">
        <f t="shared" si="19"/>
        <v>4.7874181307974203E-2</v>
      </c>
      <c r="BL37" s="158">
        <f t="shared" si="20"/>
        <v>5796.0038815491489</v>
      </c>
      <c r="BM37" s="151">
        <f t="shared" si="21"/>
        <v>189.93956967117083</v>
      </c>
      <c r="BN37" s="157">
        <f t="shared" si="22"/>
        <v>2477504.084747042</v>
      </c>
      <c r="BO37" s="156">
        <f t="shared" si="23"/>
        <v>0.39401437919430099</v>
      </c>
      <c r="BP37" s="154">
        <f t="shared" si="24"/>
        <v>5.7272410065845304E-2</v>
      </c>
      <c r="BQ37" s="154">
        <f t="shared" si="25"/>
        <v>-4.096906365473948E-3</v>
      </c>
      <c r="BR37" s="155">
        <f t="shared" si="26"/>
        <v>-5.3241972785981516E-3</v>
      </c>
      <c r="BS37" s="154">
        <f t="shared" si="27"/>
        <v>4.7851306421773203E-2</v>
      </c>
      <c r="BT37" s="151">
        <f t="shared" si="28"/>
        <v>5796.0052080134756</v>
      </c>
      <c r="BU37" s="153">
        <f t="shared" si="29"/>
        <v>189.93952620190979</v>
      </c>
      <c r="BV37" s="68">
        <f t="shared" si="30"/>
        <v>4.5961048466409924</v>
      </c>
    </row>
    <row r="38" spans="1:74" x14ac:dyDescent="0.25">
      <c r="B38" s="99">
        <v>29</v>
      </c>
      <c r="C38" s="98">
        <v>45239.721585648098</v>
      </c>
      <c r="D38" s="73">
        <v>181.77457999999999</v>
      </c>
      <c r="E38" s="73">
        <v>0.96522110497237401</v>
      </c>
      <c r="F38" s="71">
        <v>20.029668921098999</v>
      </c>
      <c r="G38" s="71">
        <v>36.093824475274602</v>
      </c>
      <c r="H38" s="152">
        <f t="shared" si="0"/>
        <v>4.5939948533437578</v>
      </c>
      <c r="I38" s="73">
        <v>87.413272031249605</v>
      </c>
      <c r="J38" s="75">
        <v>1.55047261724522E-5</v>
      </c>
      <c r="K38" s="74">
        <v>83546</v>
      </c>
      <c r="L38" s="73">
        <v>459.61321984625101</v>
      </c>
      <c r="M38" s="71">
        <v>100.094439446886</v>
      </c>
      <c r="N38" s="73">
        <v>4.5961321984625103</v>
      </c>
      <c r="O38" s="151">
        <f t="shared" si="1"/>
        <v>4.6524760845059396E-2</v>
      </c>
      <c r="Q38" s="97">
        <f t="shared" si="2"/>
        <v>20.029668921098999</v>
      </c>
      <c r="R38" s="97">
        <f t="shared" si="3"/>
        <v>37.059045580246973</v>
      </c>
      <c r="S38" s="67">
        <v>87.415489921521996</v>
      </c>
      <c r="T38" s="67">
        <v>231.906736084871</v>
      </c>
      <c r="U38" s="67">
        <v>1.2685888582539999</v>
      </c>
      <c r="V38" s="67">
        <v>92.65</v>
      </c>
      <c r="W38" s="67">
        <v>44.7</v>
      </c>
      <c r="X38" s="67">
        <f t="shared" si="4"/>
        <v>2.2350000000000002E-2</v>
      </c>
      <c r="Y38" s="67">
        <v>1</v>
      </c>
      <c r="Z38" s="96">
        <f t="shared" si="5"/>
        <v>0.99842867521158318</v>
      </c>
      <c r="AA38" s="96">
        <f t="shared" si="6"/>
        <v>1.0026268375718106</v>
      </c>
      <c r="AB38" s="96">
        <f t="shared" si="7"/>
        <v>4.6009645036879885</v>
      </c>
      <c r="AC38" s="76">
        <f t="shared" si="8"/>
        <v>0.15171219312877124</v>
      </c>
      <c r="AD38" s="162">
        <f t="shared" si="9"/>
        <v>4.5939948533437578</v>
      </c>
      <c r="AE38" s="209"/>
      <c r="AF38" s="209"/>
      <c r="AG38" s="200"/>
      <c r="AH38" s="200"/>
      <c r="AI38" s="200"/>
      <c r="AJ38" s="200"/>
      <c r="AM38" s="95">
        <f t="shared" si="10"/>
        <v>4.6082054912064399</v>
      </c>
      <c r="AN38" s="95">
        <f t="shared" si="11"/>
        <v>0.30933073101592162</v>
      </c>
      <c r="AO38" s="95">
        <f t="shared" si="12"/>
        <v>4.5939948533437578</v>
      </c>
      <c r="AP38" s="209"/>
      <c r="AQ38" s="209"/>
      <c r="AR38" s="200"/>
      <c r="AS38" s="200"/>
      <c r="AT38" s="200"/>
      <c r="AU38" s="200"/>
      <c r="AW38" s="71">
        <v>20.003155143272</v>
      </c>
      <c r="AX38" s="71">
        <v>35.979537310998801</v>
      </c>
      <c r="AY38" s="73">
        <v>189.878706617738</v>
      </c>
      <c r="AZ38" s="73">
        <v>87.0580220897278</v>
      </c>
      <c r="BA38" s="75">
        <v>1.54983008123209E-5</v>
      </c>
      <c r="BB38" s="74">
        <v>55596</v>
      </c>
      <c r="BC38" s="73">
        <v>305.851346211335</v>
      </c>
      <c r="BD38" s="161">
        <f t="shared" si="13"/>
        <v>2475275.9695861759</v>
      </c>
      <c r="BE38" s="160">
        <v>5798.78</v>
      </c>
      <c r="BF38" s="159">
        <f t="shared" si="14"/>
        <v>189.87870661773786</v>
      </c>
      <c r="BG38" s="156">
        <f t="shared" si="15"/>
        <v>0.39362362564818204</v>
      </c>
      <c r="BH38" s="154">
        <f t="shared" si="16"/>
        <v>5.7314719014697584E-2</v>
      </c>
      <c r="BI38" s="154">
        <f t="shared" si="17"/>
        <v>-4.1009076013543352E-3</v>
      </c>
      <c r="BJ38" s="155">
        <f t="shared" si="18"/>
        <v>-5.3214569878807395E-3</v>
      </c>
      <c r="BK38" s="154">
        <f t="shared" si="19"/>
        <v>4.7892354425462511E-2</v>
      </c>
      <c r="BL38" s="158">
        <f t="shared" si="20"/>
        <v>5796.0028277300471</v>
      </c>
      <c r="BM38" s="151">
        <f t="shared" si="21"/>
        <v>189.96968757381165</v>
      </c>
      <c r="BN38" s="157">
        <f t="shared" si="22"/>
        <v>2476462.0055470844</v>
      </c>
      <c r="BO38" s="156">
        <f t="shared" si="23"/>
        <v>0.39383166932319003</v>
      </c>
      <c r="BP38" s="154">
        <f t="shared" si="24"/>
        <v>5.7292196272244848E-2</v>
      </c>
      <c r="BQ38" s="154">
        <f t="shared" si="25"/>
        <v>-4.0987111218306269E-3</v>
      </c>
      <c r="BR38" s="155">
        <f t="shared" si="26"/>
        <v>-5.3240067800774896E-3</v>
      </c>
      <c r="BS38" s="154">
        <f t="shared" si="27"/>
        <v>4.7869478370336734E-2</v>
      </c>
      <c r="BT38" s="151">
        <f t="shared" si="28"/>
        <v>5796.0041542621566</v>
      </c>
      <c r="BU38" s="153">
        <f t="shared" si="29"/>
        <v>189.96964409542835</v>
      </c>
      <c r="BV38" s="68">
        <f t="shared" si="30"/>
        <v>4.5939948533437578</v>
      </c>
    </row>
    <row r="39" spans="1:74" x14ac:dyDescent="0.25">
      <c r="B39" s="99">
        <v>30</v>
      </c>
      <c r="C39" s="98">
        <v>45239.725821759297</v>
      </c>
      <c r="D39" s="73">
        <v>181.77764999999999</v>
      </c>
      <c r="E39" s="73">
        <v>0.96518405524862105</v>
      </c>
      <c r="F39" s="71">
        <v>20.125120833219</v>
      </c>
      <c r="G39" s="71">
        <v>36.081288699517998</v>
      </c>
      <c r="H39" s="152">
        <f t="shared" si="0"/>
        <v>3.1502755697288842</v>
      </c>
      <c r="I39" s="73">
        <v>87.304254685889504</v>
      </c>
      <c r="J39" s="75">
        <v>1.5508027342577798E-5</v>
      </c>
      <c r="K39" s="74">
        <v>57237</v>
      </c>
      <c r="L39" s="73">
        <v>314.87369321806102</v>
      </c>
      <c r="M39" s="71">
        <v>100.013507362181</v>
      </c>
      <c r="N39" s="73">
        <v>3.14873693218061</v>
      </c>
      <c r="O39" s="151">
        <f t="shared" si="1"/>
        <v>-4.8841363690816091E-2</v>
      </c>
      <c r="Q39" s="97">
        <f t="shared" si="2"/>
        <v>20.125120833219</v>
      </c>
      <c r="R39" s="97">
        <f t="shared" si="3"/>
        <v>37.046472754766619</v>
      </c>
      <c r="S39" s="67">
        <v>87.305867817581003</v>
      </c>
      <c r="T39" s="67">
        <v>232.014152929989</v>
      </c>
      <c r="U39" s="67">
        <v>1.268602388171</v>
      </c>
      <c r="V39" s="67">
        <v>92.65</v>
      </c>
      <c r="W39" s="67">
        <v>44.7</v>
      </c>
      <c r="X39" s="67">
        <f t="shared" si="4"/>
        <v>2.2350000000000002E-2</v>
      </c>
      <c r="Y39" s="67">
        <v>1</v>
      </c>
      <c r="Z39" s="96">
        <f t="shared" si="5"/>
        <v>0.9984301275606311</v>
      </c>
      <c r="AA39" s="96">
        <f t="shared" si="6"/>
        <v>1.0026258672402211</v>
      </c>
      <c r="AB39" s="96">
        <f t="shared" si="7"/>
        <v>3.1520490020456378</v>
      </c>
      <c r="AC39" s="76">
        <f t="shared" si="8"/>
        <v>5.6294513844900078E-2</v>
      </c>
      <c r="AD39" s="162">
        <f t="shared" si="9"/>
        <v>3.1502755697288842</v>
      </c>
      <c r="AE39" s="209">
        <f>AVERAGE(AD39:AD41)</f>
        <v>3.1498218815023002</v>
      </c>
      <c r="AF39" s="209">
        <f>AVERAGE(AC39:AC41)</f>
        <v>4.017659850306244E-2</v>
      </c>
      <c r="AG39" s="200">
        <f>STDEV(AC39:AC41)</f>
        <v>1.8458432823170692E-2</v>
      </c>
      <c r="AH39" s="200">
        <f>AG39*4.303/SQRT(2)</f>
        <v>5.6163113232221493E-2</v>
      </c>
      <c r="AI39" s="200">
        <v>0.25</v>
      </c>
      <c r="AJ39" s="200">
        <f>SQRT(AI39^2+AH39^2)</f>
        <v>0.25623094131649155</v>
      </c>
      <c r="AM39" s="95">
        <f t="shared" si="10"/>
        <v>3.1570050973388972</v>
      </c>
      <c r="AN39" s="95">
        <f t="shared" si="11"/>
        <v>0.21361710939440601</v>
      </c>
      <c r="AO39" s="95">
        <f t="shared" si="12"/>
        <v>3.1502755697288842</v>
      </c>
      <c r="AP39" s="209">
        <f>AVERAGE(AO39:AO41)</f>
        <v>3.1498218815023002</v>
      </c>
      <c r="AQ39" s="209">
        <f>AVERAGE(AN39:AN41)</f>
        <v>0.19744334650756112</v>
      </c>
      <c r="AR39" s="200">
        <f>STDEV(AN39:AN41)</f>
        <v>1.8510616908319479E-2</v>
      </c>
      <c r="AS39" s="200">
        <f>AR39*4.303/SQRT(2)</f>
        <v>5.632189272944145E-2</v>
      </c>
      <c r="AT39" s="200">
        <v>0.25</v>
      </c>
      <c r="AU39" s="200">
        <f>SQRT(AT39^2+AS39^2)</f>
        <v>0.25626579092931367</v>
      </c>
      <c r="AW39" s="71">
        <v>20.017420932703999</v>
      </c>
      <c r="AX39" s="71">
        <v>36.035263625351298</v>
      </c>
      <c r="AY39" s="73">
        <v>129.93063375828001</v>
      </c>
      <c r="AZ39" s="73">
        <v>87.230560754717899</v>
      </c>
      <c r="BA39" s="75">
        <v>1.5501490641761699E-5</v>
      </c>
      <c r="BB39" s="74">
        <v>38044</v>
      </c>
      <c r="BC39" s="73">
        <v>209.28865567356601</v>
      </c>
      <c r="BD39" s="161">
        <f t="shared" si="13"/>
        <v>1696795.131903532</v>
      </c>
      <c r="BE39" s="160">
        <v>5798.78</v>
      </c>
      <c r="BF39" s="159">
        <f t="shared" si="14"/>
        <v>129.93063375827978</v>
      </c>
      <c r="BG39" s="156">
        <f t="shared" si="15"/>
        <v>0.22962940952166772</v>
      </c>
      <c r="BH39" s="154">
        <f t="shared" si="16"/>
        <v>7.2308644725828014E-2</v>
      </c>
      <c r="BI39" s="154">
        <f t="shared" si="17"/>
        <v>-6.3079317816031374E-3</v>
      </c>
      <c r="BJ39" s="155">
        <f t="shared" si="18"/>
        <v>-3.6431039957685999E-3</v>
      </c>
      <c r="BK39" s="154">
        <f t="shared" si="19"/>
        <v>6.2357608948456281E-2</v>
      </c>
      <c r="BL39" s="158">
        <f t="shared" si="20"/>
        <v>5795.1640194438187</v>
      </c>
      <c r="BM39" s="151">
        <f t="shared" si="21"/>
        <v>130.01170594946296</v>
      </c>
      <c r="BN39" s="157">
        <f t="shared" si="22"/>
        <v>1697853.8729821625</v>
      </c>
      <c r="BO39" s="156">
        <f t="shared" si="23"/>
        <v>0.22990030964857958</v>
      </c>
      <c r="BP39" s="154">
        <f t="shared" si="24"/>
        <v>7.2289035790632866E-2</v>
      </c>
      <c r="BQ39" s="154">
        <f t="shared" si="25"/>
        <v>-6.3033532833888144E-3</v>
      </c>
      <c r="BR39" s="155">
        <f t="shared" si="26"/>
        <v>-3.6453771658063495E-3</v>
      </c>
      <c r="BS39" s="154">
        <f t="shared" si="27"/>
        <v>6.234030534143771E-2</v>
      </c>
      <c r="BT39" s="151">
        <f t="shared" si="28"/>
        <v>5795.1650228419212</v>
      </c>
      <c r="BU39" s="153">
        <f t="shared" si="29"/>
        <v>130.01168343871504</v>
      </c>
      <c r="BV39" s="68">
        <f t="shared" si="30"/>
        <v>3.1502755697288842</v>
      </c>
    </row>
    <row r="40" spans="1:74" x14ac:dyDescent="0.25">
      <c r="B40" s="99">
        <v>31</v>
      </c>
      <c r="C40" s="98">
        <v>45239.728460648097</v>
      </c>
      <c r="D40" s="73">
        <v>182.97801000000001</v>
      </c>
      <c r="E40" s="73">
        <v>0.965195841530055</v>
      </c>
      <c r="F40" s="71">
        <v>20.155163150137</v>
      </c>
      <c r="G40" s="71">
        <v>36.080295162790499</v>
      </c>
      <c r="H40" s="152">
        <f t="shared" si="0"/>
        <v>3.1498941034377483</v>
      </c>
      <c r="I40" s="73">
        <v>87.279481002393695</v>
      </c>
      <c r="J40" s="75">
        <v>1.5509202762266101E-5</v>
      </c>
      <c r="K40" s="74">
        <v>57601</v>
      </c>
      <c r="L40" s="73">
        <v>314.79739013447602</v>
      </c>
      <c r="M40" s="71">
        <v>100.001386968801</v>
      </c>
      <c r="N40" s="73">
        <v>3.1479739013447601</v>
      </c>
      <c r="O40" s="151">
        <f t="shared" si="1"/>
        <v>-6.0960845981856505E-2</v>
      </c>
      <c r="Q40" s="97">
        <f t="shared" si="2"/>
        <v>20.155163150137</v>
      </c>
      <c r="R40" s="97">
        <f t="shared" si="3"/>
        <v>37.045491004320553</v>
      </c>
      <c r="S40" s="67">
        <v>87.281167693841994</v>
      </c>
      <c r="T40" s="67">
        <v>232.04432085482301</v>
      </c>
      <c r="U40" s="67">
        <v>1.2686069317590001</v>
      </c>
      <c r="V40" s="67">
        <v>92.65</v>
      </c>
      <c r="W40" s="67">
        <v>44.7</v>
      </c>
      <c r="X40" s="67">
        <f t="shared" si="4"/>
        <v>2.2350000000000002E-2</v>
      </c>
      <c r="Y40" s="67">
        <v>1</v>
      </c>
      <c r="Z40" s="96">
        <f t="shared" si="5"/>
        <v>0.99843053508959145</v>
      </c>
      <c r="AA40" s="96">
        <f t="shared" si="6"/>
        <v>1.0026257903356015</v>
      </c>
      <c r="AB40" s="96">
        <f t="shared" si="7"/>
        <v>3.1512862131440706</v>
      </c>
      <c r="AC40" s="76">
        <f t="shared" si="8"/>
        <v>4.4195444691393929E-2</v>
      </c>
      <c r="AD40" s="162">
        <f t="shared" si="9"/>
        <v>3.1498941034377483</v>
      </c>
      <c r="AE40" s="209"/>
      <c r="AF40" s="209"/>
      <c r="AG40" s="200"/>
      <c r="AH40" s="200"/>
      <c r="AI40" s="200"/>
      <c r="AJ40" s="200"/>
      <c r="AM40" s="95">
        <f t="shared" si="10"/>
        <v>3.1562398207916371</v>
      </c>
      <c r="AN40" s="95">
        <f t="shared" si="11"/>
        <v>0.20145811717807138</v>
      </c>
      <c r="AO40" s="95">
        <f t="shared" si="12"/>
        <v>3.1498941034377483</v>
      </c>
      <c r="AP40" s="209"/>
      <c r="AQ40" s="209"/>
      <c r="AR40" s="200"/>
      <c r="AS40" s="200"/>
      <c r="AT40" s="200"/>
      <c r="AU40" s="200"/>
      <c r="AW40" s="71">
        <v>20.054397376432</v>
      </c>
      <c r="AX40" s="71">
        <v>36.034733218036997</v>
      </c>
      <c r="AY40" s="73">
        <v>129.957024399484</v>
      </c>
      <c r="AZ40" s="73">
        <v>87.202280279118298</v>
      </c>
      <c r="BA40" s="75">
        <v>1.55029694466655E-5</v>
      </c>
      <c r="BB40" s="74">
        <v>38303</v>
      </c>
      <c r="BC40" s="73">
        <v>209.331164985344</v>
      </c>
      <c r="BD40" s="161">
        <f t="shared" si="13"/>
        <v>1696427.719366279</v>
      </c>
      <c r="BE40" s="160">
        <v>5798.78</v>
      </c>
      <c r="BF40" s="159">
        <f t="shared" si="14"/>
        <v>129.95702439948377</v>
      </c>
      <c r="BG40" s="156">
        <f t="shared" si="15"/>
        <v>0.22953536015024198</v>
      </c>
      <c r="BH40" s="154">
        <f t="shared" si="16"/>
        <v>7.2315448075004271E-2</v>
      </c>
      <c r="BI40" s="154">
        <f t="shared" si="17"/>
        <v>-6.308485906993809E-3</v>
      </c>
      <c r="BJ40" s="155">
        <f t="shared" si="18"/>
        <v>-3.6427136692937356E-3</v>
      </c>
      <c r="BK40" s="154">
        <f t="shared" si="19"/>
        <v>6.2364248498716732E-2</v>
      </c>
      <c r="BL40" s="158">
        <f t="shared" si="20"/>
        <v>5795.1636344309063</v>
      </c>
      <c r="BM40" s="151">
        <f t="shared" si="21"/>
        <v>130.03812169684184</v>
      </c>
      <c r="BN40" s="157">
        <f t="shared" si="22"/>
        <v>1697486.3439680629</v>
      </c>
      <c r="BO40" s="156">
        <f t="shared" si="23"/>
        <v>0.22980628913034734</v>
      </c>
      <c r="BP40" s="154">
        <f t="shared" si="24"/>
        <v>7.2295843516743619E-2</v>
      </c>
      <c r="BQ40" s="154">
        <f t="shared" si="25"/>
        <v>-6.3039066285984222E-3</v>
      </c>
      <c r="BR40" s="155">
        <f t="shared" si="26"/>
        <v>-3.6449868379430962E-3</v>
      </c>
      <c r="BS40" s="154">
        <f t="shared" si="27"/>
        <v>6.2346950050202105E-2</v>
      </c>
      <c r="BT40" s="151">
        <f t="shared" si="28"/>
        <v>5795.1646375298787</v>
      </c>
      <c r="BU40" s="153">
        <f t="shared" si="29"/>
        <v>130.03809918823086</v>
      </c>
      <c r="BV40" s="68">
        <f t="shared" si="30"/>
        <v>3.1498941034377483</v>
      </c>
    </row>
    <row r="41" spans="1:74" x14ac:dyDescent="0.25">
      <c r="B41" s="99">
        <v>32</v>
      </c>
      <c r="C41" s="98">
        <v>45239.730949074103</v>
      </c>
      <c r="D41" s="73">
        <v>181.79531</v>
      </c>
      <c r="E41" s="73">
        <v>0.96521533701657602</v>
      </c>
      <c r="F41" s="71">
        <v>20.162979599918</v>
      </c>
      <c r="G41" s="71">
        <v>36.080574568124099</v>
      </c>
      <c r="H41" s="152">
        <f t="shared" si="0"/>
        <v>3.1492959713402691</v>
      </c>
      <c r="I41" s="73">
        <v>87.274940934104094</v>
      </c>
      <c r="J41" s="75">
        <v>1.5509535815544E-5</v>
      </c>
      <c r="K41" s="74">
        <v>57204</v>
      </c>
      <c r="L41" s="73">
        <v>314.66158285381499</v>
      </c>
      <c r="M41" s="71">
        <v>99.977233202571895</v>
      </c>
      <c r="N41" s="73">
        <v>3.1466158285381498</v>
      </c>
      <c r="O41" s="151">
        <f t="shared" si="1"/>
        <v>-8.5102919081265271E-2</v>
      </c>
      <c r="Q41" s="97">
        <f t="shared" si="2"/>
        <v>20.162979599918</v>
      </c>
      <c r="R41" s="97">
        <f t="shared" si="3"/>
        <v>37.045789905140673</v>
      </c>
      <c r="S41" s="67">
        <v>87.276558222852003</v>
      </c>
      <c r="T41" s="67">
        <v>232.05149803564299</v>
      </c>
      <c r="U41" s="67">
        <v>1.26860817231</v>
      </c>
      <c r="V41" s="67">
        <v>92.65</v>
      </c>
      <c r="W41" s="67">
        <v>44.7</v>
      </c>
      <c r="X41" s="67">
        <f t="shared" si="4"/>
        <v>2.2350000000000002E-2</v>
      </c>
      <c r="Y41" s="67">
        <v>1</v>
      </c>
      <c r="Z41" s="96">
        <f t="shared" si="5"/>
        <v>0.99843063202050342</v>
      </c>
      <c r="AA41" s="96">
        <f t="shared" si="6"/>
        <v>1.0026258119629448</v>
      </c>
      <c r="AB41" s="96">
        <f t="shared" si="7"/>
        <v>3.1499270851187195</v>
      </c>
      <c r="AC41" s="76">
        <f t="shared" si="8"/>
        <v>2.0039836972893323E-2</v>
      </c>
      <c r="AD41" s="162">
        <f t="shared" si="9"/>
        <v>3.1492959713402691</v>
      </c>
      <c r="AE41" s="209"/>
      <c r="AF41" s="209"/>
      <c r="AG41" s="200"/>
      <c r="AH41" s="200"/>
      <c r="AI41" s="200"/>
      <c r="AJ41" s="200"/>
      <c r="AM41" s="95">
        <f t="shared" si="10"/>
        <v>3.1548782500235166</v>
      </c>
      <c r="AN41" s="95">
        <f t="shared" si="11"/>
        <v>0.17725481295020595</v>
      </c>
      <c r="AO41" s="95">
        <f t="shared" si="12"/>
        <v>3.1492959713402691</v>
      </c>
      <c r="AP41" s="209"/>
      <c r="AQ41" s="209"/>
      <c r="AR41" s="200"/>
      <c r="AS41" s="200"/>
      <c r="AT41" s="200"/>
      <c r="AU41" s="200"/>
      <c r="AW41" s="71">
        <v>20.033761595969001</v>
      </c>
      <c r="AX41" s="71">
        <v>36.034569607597597</v>
      </c>
      <c r="AY41" s="73">
        <v>129.91118212624801</v>
      </c>
      <c r="AZ41" s="73">
        <v>87.216484106479896</v>
      </c>
      <c r="BA41" s="75">
        <v>1.55021216041925E-5</v>
      </c>
      <c r="BB41" s="74">
        <v>38042</v>
      </c>
      <c r="BC41" s="73">
        <v>209.25732352501299</v>
      </c>
      <c r="BD41" s="161">
        <f t="shared" si="13"/>
        <v>1696198.2917153039</v>
      </c>
      <c r="BE41" s="160">
        <v>5798.78</v>
      </c>
      <c r="BF41" s="159">
        <f t="shared" si="14"/>
        <v>129.91118212624841</v>
      </c>
      <c r="BG41" s="156">
        <f t="shared" si="15"/>
        <v>0.22947662148429954</v>
      </c>
      <c r="BH41" s="154">
        <f t="shared" si="16"/>
        <v>7.231969597723098E-2</v>
      </c>
      <c r="BI41" s="154">
        <f t="shared" si="17"/>
        <v>-6.3100495404537294E-3</v>
      </c>
      <c r="BJ41" s="155">
        <f t="shared" si="18"/>
        <v>-3.6420360189490619E-3</v>
      </c>
      <c r="BK41" s="154">
        <f t="shared" si="19"/>
        <v>6.2367610417828186E-2</v>
      </c>
      <c r="BL41" s="158">
        <f t="shared" si="20"/>
        <v>5795.1634394806124</v>
      </c>
      <c r="BM41" s="151">
        <f t="shared" si="21"/>
        <v>129.99225518953838</v>
      </c>
      <c r="BN41" s="157">
        <f t="shared" si="22"/>
        <v>1697256.83024298</v>
      </c>
      <c r="BO41" s="156">
        <f t="shared" si="23"/>
        <v>0.22974756507414557</v>
      </c>
      <c r="BP41" s="154">
        <f t="shared" si="24"/>
        <v>7.2300094400470236E-2</v>
      </c>
      <c r="BQ41" s="154">
        <f t="shared" si="25"/>
        <v>-6.3054686898098913E-3</v>
      </c>
      <c r="BR41" s="155">
        <f t="shared" si="26"/>
        <v>-3.6443088873183275E-3</v>
      </c>
      <c r="BS41" s="154">
        <f t="shared" si="27"/>
        <v>6.2350316823342009E-2</v>
      </c>
      <c r="BT41" s="151">
        <f t="shared" si="28"/>
        <v>5795.1644422981108</v>
      </c>
      <c r="BU41" s="153">
        <f t="shared" si="29"/>
        <v>129.99223269517961</v>
      </c>
      <c r="BV41" s="68">
        <f t="shared" si="30"/>
        <v>3.1492959713402691</v>
      </c>
    </row>
    <row r="42" spans="1:74" x14ac:dyDescent="0.25">
      <c r="B42" s="99">
        <v>33</v>
      </c>
      <c r="C42" s="98">
        <v>45239.736273148097</v>
      </c>
      <c r="D42" s="73">
        <v>183.24967000000001</v>
      </c>
      <c r="E42" s="73">
        <v>0.96516940437158205</v>
      </c>
      <c r="F42" s="71">
        <v>19.971218364135002</v>
      </c>
      <c r="G42" s="71">
        <v>36.026110922129298</v>
      </c>
      <c r="H42" s="152">
        <f t="shared" si="0"/>
        <v>1.5468695077467678</v>
      </c>
      <c r="I42" s="73">
        <v>87.233599817206894</v>
      </c>
      <c r="J42" s="75">
        <v>1.5499181364644401E-5</v>
      </c>
      <c r="K42" s="74">
        <v>28388</v>
      </c>
      <c r="L42" s="73">
        <v>154.91433081434701</v>
      </c>
      <c r="M42" s="71">
        <v>100.21266774615501</v>
      </c>
      <c r="N42" s="73">
        <v>1.54914330814347</v>
      </c>
      <c r="O42" s="151">
        <f t="shared" si="1"/>
        <v>0.14699367886657277</v>
      </c>
      <c r="Q42" s="97">
        <f t="shared" si="2"/>
        <v>19.971218364135002</v>
      </c>
      <c r="R42" s="97">
        <f t="shared" si="3"/>
        <v>36.991280326500878</v>
      </c>
      <c r="S42" s="67">
        <v>87.235244179383997</v>
      </c>
      <c r="T42" s="67">
        <v>231.932346287412</v>
      </c>
      <c r="U42" s="67">
        <v>1.268572407031</v>
      </c>
      <c r="V42" s="67">
        <v>92.65</v>
      </c>
      <c r="W42" s="67">
        <v>44.7</v>
      </c>
      <c r="X42" s="67">
        <f t="shared" si="4"/>
        <v>2.2350000000000002E-2</v>
      </c>
      <c r="Y42" s="67">
        <v>1</v>
      </c>
      <c r="Z42" s="96">
        <f t="shared" si="5"/>
        <v>0.99842902166182368</v>
      </c>
      <c r="AA42" s="96">
        <f t="shared" si="6"/>
        <v>1.0026215962272746</v>
      </c>
      <c r="AB42" s="96">
        <f t="shared" si="7"/>
        <v>1.550764485714172</v>
      </c>
      <c r="AC42" s="76">
        <f t="shared" si="8"/>
        <v>0.25179744948737243</v>
      </c>
      <c r="AD42" s="162">
        <f t="shared" si="9"/>
        <v>1.5468695077467678</v>
      </c>
      <c r="AE42" s="209">
        <f>AVERAGE(AD42:AD44)</f>
        <v>1.5468410535624288</v>
      </c>
      <c r="AF42" s="209">
        <f>AVERAGE(AC42:AC44)</f>
        <v>0.23360363852216662</v>
      </c>
      <c r="AG42" s="200">
        <f>STDEV(AC42:AC44)</f>
        <v>1.5811489515874144E-2</v>
      </c>
      <c r="AH42" s="200">
        <f>AG42*4.303/SQRT(2)</f>
        <v>4.8109310500910815E-2</v>
      </c>
      <c r="AI42" s="200">
        <v>0.25</v>
      </c>
      <c r="AJ42" s="200">
        <f>SQRT(AI42^2+AH42^2)</f>
        <v>0.25458693163018609</v>
      </c>
      <c r="AM42" s="95">
        <f t="shared" si="10"/>
        <v>1.5532045363956066</v>
      </c>
      <c r="AN42" s="95">
        <f t="shared" si="11"/>
        <v>0.40953865966798281</v>
      </c>
      <c r="AO42" s="95">
        <f t="shared" si="12"/>
        <v>1.5468695077467678</v>
      </c>
      <c r="AP42" s="209">
        <f>AVERAGE(AO42:AO44)</f>
        <v>1.5468410535624288</v>
      </c>
      <c r="AQ42" s="209">
        <f>AVERAGE(AN42:AN44)</f>
        <v>0.39128881649440928</v>
      </c>
      <c r="AR42" s="200">
        <f>STDEV(AN42:AN44)</f>
        <v>1.5862780100342835E-2</v>
      </c>
      <c r="AS42" s="200">
        <f>AR42*4.303/SQRT(2)</f>
        <v>4.8265371361053064E-2</v>
      </c>
      <c r="AT42" s="200">
        <v>0.25</v>
      </c>
      <c r="AU42" s="200">
        <f>SQRT(AT42^2+AS42^2)</f>
        <v>0.25461646858092341</v>
      </c>
      <c r="AW42" s="71">
        <v>19.917419571311999</v>
      </c>
      <c r="AX42" s="71">
        <v>36.026661091147901</v>
      </c>
      <c r="AY42" s="73">
        <v>63.7658915592895</v>
      </c>
      <c r="AZ42" s="73">
        <v>87.273629229836502</v>
      </c>
      <c r="BA42" s="75">
        <v>1.5497013626794399E-5</v>
      </c>
      <c r="BB42" s="74">
        <v>18822</v>
      </c>
      <c r="BC42" s="73">
        <v>102.71232684893801</v>
      </c>
      <c r="BD42" s="161">
        <f t="shared" si="13"/>
        <v>833385.8234006596</v>
      </c>
      <c r="BE42" s="160">
        <v>5798.78</v>
      </c>
      <c r="BF42" s="159">
        <f t="shared" si="14"/>
        <v>63.765891559289514</v>
      </c>
      <c r="BG42" s="156">
        <f t="shared" si="15"/>
        <v>-7.9153891533206538E-2</v>
      </c>
      <c r="BH42" s="154">
        <f t="shared" si="16"/>
        <v>8.2345273146799944E-2</v>
      </c>
      <c r="BI42" s="154">
        <f t="shared" si="17"/>
        <v>-1.5034098118151911E-2</v>
      </c>
      <c r="BJ42" s="155">
        <f t="shared" si="18"/>
        <v>-1.7892209577244531E-3</v>
      </c>
      <c r="BK42" s="154">
        <f t="shared" si="19"/>
        <v>6.552195407092358E-2</v>
      </c>
      <c r="BL42" s="158">
        <f t="shared" si="20"/>
        <v>5794.9805260317262</v>
      </c>
      <c r="BM42" s="151">
        <f t="shared" si="21"/>
        <v>63.807699610922292</v>
      </c>
      <c r="BN42" s="157">
        <f t="shared" si="22"/>
        <v>833932.23209475516</v>
      </c>
      <c r="BO42" s="156">
        <f t="shared" si="23"/>
        <v>-7.8869240037443208E-2</v>
      </c>
      <c r="BP42" s="154">
        <f t="shared" si="24"/>
        <v>8.2346525181807531E-2</v>
      </c>
      <c r="BQ42" s="154">
        <f t="shared" si="25"/>
        <v>-1.5021434996065404E-2</v>
      </c>
      <c r="BR42" s="155">
        <f t="shared" si="26"/>
        <v>-1.790394058897412E-3</v>
      </c>
      <c r="BS42" s="154">
        <f t="shared" si="27"/>
        <v>6.5534696126844705E-2</v>
      </c>
      <c r="BT42" s="151">
        <f t="shared" si="28"/>
        <v>5794.9797871479359</v>
      </c>
      <c r="BU42" s="153">
        <f t="shared" si="29"/>
        <v>63.807707746666793</v>
      </c>
      <c r="BV42" s="68">
        <f t="shared" si="30"/>
        <v>1.5468695077467678</v>
      </c>
    </row>
    <row r="43" spans="1:74" x14ac:dyDescent="0.25">
      <c r="B43" s="99">
        <v>34</v>
      </c>
      <c r="C43" s="98">
        <v>45239.738877314798</v>
      </c>
      <c r="D43" s="73">
        <v>181.79178999999999</v>
      </c>
      <c r="E43" s="73">
        <v>0.96522197790055098</v>
      </c>
      <c r="F43" s="71">
        <v>20.038854529761</v>
      </c>
      <c r="G43" s="71">
        <v>36.035135045103502</v>
      </c>
      <c r="H43" s="152">
        <f t="shared" si="0"/>
        <v>1.5474697026390662</v>
      </c>
      <c r="I43" s="73">
        <v>87.214397678328694</v>
      </c>
      <c r="J43" s="75">
        <v>1.55023511243645E-5</v>
      </c>
      <c r="K43" s="74">
        <v>28165</v>
      </c>
      <c r="L43" s="73">
        <v>154.92998886253301</v>
      </c>
      <c r="M43" s="71">
        <v>100.183930863559</v>
      </c>
      <c r="N43" s="73">
        <v>1.54929988862533</v>
      </c>
      <c r="O43" s="151">
        <f t="shared" si="1"/>
        <v>0.11826958441528831</v>
      </c>
      <c r="Q43" s="97">
        <f t="shared" si="2"/>
        <v>20.038854529761</v>
      </c>
      <c r="R43" s="97">
        <f t="shared" si="3"/>
        <v>37.000357023004049</v>
      </c>
      <c r="S43" s="67">
        <v>87.216591642750004</v>
      </c>
      <c r="T43" s="67">
        <v>231.98665948137099</v>
      </c>
      <c r="U43" s="67">
        <v>1.2685839681019999</v>
      </c>
      <c r="V43" s="67">
        <v>92.65</v>
      </c>
      <c r="W43" s="67">
        <v>44.7</v>
      </c>
      <c r="X43" s="67">
        <f t="shared" si="4"/>
        <v>2.2350000000000002E-2</v>
      </c>
      <c r="Y43" s="67">
        <v>1</v>
      </c>
      <c r="Z43" s="96">
        <f t="shared" si="5"/>
        <v>0.99842975602213591</v>
      </c>
      <c r="AA43" s="96">
        <f t="shared" si="6"/>
        <v>1.0026222947332775</v>
      </c>
      <c r="AB43" s="96">
        <f t="shared" si="7"/>
        <v>1.5509234512804331</v>
      </c>
      <c r="AC43" s="76">
        <f t="shared" si="8"/>
        <v>0.22318683431906799</v>
      </c>
      <c r="AD43" s="162">
        <f t="shared" si="9"/>
        <v>1.5474697026390662</v>
      </c>
      <c r="AE43" s="209"/>
      <c r="AF43" s="209"/>
      <c r="AG43" s="200"/>
      <c r="AH43" s="200"/>
      <c r="AI43" s="200"/>
      <c r="AJ43" s="200"/>
      <c r="AM43" s="95">
        <f t="shared" si="10"/>
        <v>1.5533626095635396</v>
      </c>
      <c r="AN43" s="95">
        <f t="shared" si="11"/>
        <v>0.38080919545135522</v>
      </c>
      <c r="AO43" s="95">
        <f t="shared" si="12"/>
        <v>1.5474697026390662</v>
      </c>
      <c r="AP43" s="209"/>
      <c r="AQ43" s="209"/>
      <c r="AR43" s="200"/>
      <c r="AS43" s="200"/>
      <c r="AT43" s="200"/>
      <c r="AU43" s="200"/>
      <c r="AW43" s="71">
        <v>19.903119297273999</v>
      </c>
      <c r="AX43" s="71">
        <v>36.035646982319903</v>
      </c>
      <c r="AY43" s="73">
        <v>63.761596324175201</v>
      </c>
      <c r="AZ43" s="73">
        <v>87.313368044303601</v>
      </c>
      <c r="BA43" s="75">
        <v>1.5496853312524199E-5</v>
      </c>
      <c r="BB43" s="74">
        <v>18671</v>
      </c>
      <c r="BC43" s="73">
        <v>102.70540820352799</v>
      </c>
      <c r="BD43" s="161">
        <f t="shared" si="13"/>
        <v>833717.7565815174</v>
      </c>
      <c r="BE43" s="160">
        <v>5798.78</v>
      </c>
      <c r="BF43" s="159">
        <f t="shared" si="14"/>
        <v>63.761596324175223</v>
      </c>
      <c r="BG43" s="156">
        <f t="shared" si="15"/>
        <v>-7.8980948768949927E-2</v>
      </c>
      <c r="BH43" s="154">
        <f t="shared" si="16"/>
        <v>8.2346035738017687E-2</v>
      </c>
      <c r="BI43" s="154">
        <f t="shared" si="17"/>
        <v>-1.5028557198211109E-2</v>
      </c>
      <c r="BJ43" s="155">
        <f t="shared" si="18"/>
        <v>-1.7894778431563234E-3</v>
      </c>
      <c r="BK43" s="154">
        <f t="shared" si="19"/>
        <v>6.5528000696650254E-2</v>
      </c>
      <c r="BL43" s="158">
        <f t="shared" si="20"/>
        <v>5794.9801754012024</v>
      </c>
      <c r="BM43" s="151">
        <f t="shared" si="21"/>
        <v>63.803405420123404</v>
      </c>
      <c r="BN43" s="157">
        <f t="shared" si="22"/>
        <v>834264.43338523805</v>
      </c>
      <c r="BO43" s="156">
        <f t="shared" si="23"/>
        <v>-7.8696270995806353E-2</v>
      </c>
      <c r="BP43" s="154">
        <f t="shared" si="24"/>
        <v>8.2347278174778202E-2</v>
      </c>
      <c r="BQ43" s="154">
        <f t="shared" si="25"/>
        <v>-1.5015897439911347E-2</v>
      </c>
      <c r="BR43" s="155">
        <f t="shared" si="26"/>
        <v>-1.7906512211009605E-3</v>
      </c>
      <c r="BS43" s="154">
        <f t="shared" si="27"/>
        <v>6.5540729513765897E-2</v>
      </c>
      <c r="BT43" s="151">
        <f t="shared" si="28"/>
        <v>5794.9794372851011</v>
      </c>
      <c r="BU43" s="153">
        <f t="shared" si="29"/>
        <v>63.803413546868534</v>
      </c>
      <c r="BV43" s="68">
        <f t="shared" si="30"/>
        <v>1.5474697026390662</v>
      </c>
    </row>
    <row r="44" spans="1:74" x14ac:dyDescent="0.25">
      <c r="B44" s="99">
        <v>35</v>
      </c>
      <c r="C44" s="98">
        <v>45239.7412847222</v>
      </c>
      <c r="D44" s="73">
        <v>181.76335</v>
      </c>
      <c r="E44" s="73">
        <v>0.96532138121546995</v>
      </c>
      <c r="F44" s="71">
        <v>19.963323912686</v>
      </c>
      <c r="G44" s="71">
        <v>36.014577510534998</v>
      </c>
      <c r="H44" s="152">
        <f t="shared" si="0"/>
        <v>1.5461839503014529</v>
      </c>
      <c r="I44" s="73">
        <v>87.201651277341597</v>
      </c>
      <c r="J44" s="75">
        <v>1.5498322977922801E-5</v>
      </c>
      <c r="K44" s="74">
        <v>28138</v>
      </c>
      <c r="L44" s="73">
        <v>154.80568552461199</v>
      </c>
      <c r="M44" s="71">
        <v>100.186779831172</v>
      </c>
      <c r="N44" s="73">
        <v>1.54805685524612</v>
      </c>
      <c r="O44" s="151">
        <f t="shared" si="1"/>
        <v>0.12113079716691685</v>
      </c>
      <c r="Q44" s="97">
        <f t="shared" si="2"/>
        <v>19.963323912686</v>
      </c>
      <c r="R44" s="97">
        <f t="shared" si="3"/>
        <v>36.979898891750466</v>
      </c>
      <c r="S44" s="67">
        <v>87.203601104377</v>
      </c>
      <c r="T44" s="67">
        <v>231.93851161721199</v>
      </c>
      <c r="U44" s="67">
        <v>1.2685699864610001</v>
      </c>
      <c r="V44" s="67">
        <v>92.65</v>
      </c>
      <c r="W44" s="67">
        <v>44.7</v>
      </c>
      <c r="X44" s="67">
        <f t="shared" si="4"/>
        <v>2.2350000000000002E-2</v>
      </c>
      <c r="Y44" s="67">
        <v>1</v>
      </c>
      <c r="Z44" s="96">
        <f t="shared" si="5"/>
        <v>0.99842910504819982</v>
      </c>
      <c r="AA44" s="96">
        <f t="shared" si="6"/>
        <v>1.0026207034929373</v>
      </c>
      <c r="AB44" s="96">
        <f t="shared" si="7"/>
        <v>1.5496756454372334</v>
      </c>
      <c r="AC44" s="76">
        <f t="shared" si="8"/>
        <v>0.22582663176005952</v>
      </c>
      <c r="AD44" s="162">
        <f t="shared" si="9"/>
        <v>1.5461839503014529</v>
      </c>
      <c r="AE44" s="209"/>
      <c r="AF44" s="209"/>
      <c r="AG44" s="200"/>
      <c r="AH44" s="200"/>
      <c r="AI44" s="200"/>
      <c r="AJ44" s="200"/>
      <c r="AM44" s="95">
        <f t="shared" si="10"/>
        <v>1.5521138532539291</v>
      </c>
      <c r="AN44" s="95">
        <f t="shared" si="11"/>
        <v>0.38351859436388974</v>
      </c>
      <c r="AO44" s="95">
        <f t="shared" si="12"/>
        <v>1.5461839503014529</v>
      </c>
      <c r="AP44" s="209"/>
      <c r="AQ44" s="209"/>
      <c r="AR44" s="200"/>
      <c r="AS44" s="200"/>
      <c r="AT44" s="200"/>
      <c r="AU44" s="200"/>
      <c r="AW44" s="71">
        <v>19.892897717073001</v>
      </c>
      <c r="AX44" s="71">
        <v>36.015557331952103</v>
      </c>
      <c r="AY44" s="73">
        <v>63.7510796735436</v>
      </c>
      <c r="AZ44" s="73">
        <v>87.255225554940793</v>
      </c>
      <c r="BA44" s="75">
        <v>1.54955018136473E-5</v>
      </c>
      <c r="BB44" s="74">
        <v>18665</v>
      </c>
      <c r="BC44" s="73">
        <v>102.68846827482</v>
      </c>
      <c r="BD44" s="161">
        <f t="shared" si="13"/>
        <v>833097.81503804366</v>
      </c>
      <c r="BE44" s="160">
        <v>5798.78</v>
      </c>
      <c r="BF44" s="159">
        <f t="shared" si="14"/>
        <v>63.751079673543742</v>
      </c>
      <c r="BG44" s="156">
        <f t="shared" si="15"/>
        <v>-7.9304004550803955E-2</v>
      </c>
      <c r="BH44" s="154">
        <f t="shared" si="16"/>
        <v>8.2344606443022605E-2</v>
      </c>
      <c r="BI44" s="154">
        <f t="shared" si="17"/>
        <v>-1.5041761223676769E-2</v>
      </c>
      <c r="BJ44" s="155">
        <f t="shared" si="18"/>
        <v>-1.7889577745168321E-3</v>
      </c>
      <c r="BK44" s="154">
        <f t="shared" si="19"/>
        <v>6.5513887444829E-2</v>
      </c>
      <c r="BL44" s="158">
        <f t="shared" si="20"/>
        <v>5794.9809937976261</v>
      </c>
      <c r="BM44" s="151">
        <f t="shared" si="21"/>
        <v>63.792872864469999</v>
      </c>
      <c r="BN44" s="157">
        <f t="shared" si="22"/>
        <v>833643.9676086735</v>
      </c>
      <c r="BO44" s="156">
        <f t="shared" si="23"/>
        <v>-7.9019388110920394E-2</v>
      </c>
      <c r="BP44" s="154">
        <f t="shared" si="24"/>
        <v>8.2345866749522961E-2</v>
      </c>
      <c r="BQ44" s="154">
        <f t="shared" si="25"/>
        <v>-1.5029092739663942E-2</v>
      </c>
      <c r="BR44" s="155">
        <f t="shared" si="26"/>
        <v>-1.7901305586361324E-3</v>
      </c>
      <c r="BS44" s="154">
        <f t="shared" si="27"/>
        <v>6.5526643451222888E-2</v>
      </c>
      <c r="BT44" s="151">
        <f t="shared" si="28"/>
        <v>5794.9802541048794</v>
      </c>
      <c r="BU44" s="153">
        <f t="shared" si="29"/>
        <v>63.792881007228608</v>
      </c>
      <c r="BV44" s="68">
        <f t="shared" si="30"/>
        <v>1.5461839503014529</v>
      </c>
    </row>
    <row r="45" spans="1:74" x14ac:dyDescent="0.25">
      <c r="B45" s="99">
        <v>36</v>
      </c>
      <c r="C45" s="98">
        <v>45239.750034722201</v>
      </c>
      <c r="D45" s="73">
        <v>61.765000000000001</v>
      </c>
      <c r="E45" s="73">
        <v>0.96544624590163997</v>
      </c>
      <c r="F45" s="71">
        <v>19.899886785301</v>
      </c>
      <c r="G45" s="71">
        <v>36.020315411011602</v>
      </c>
      <c r="H45" s="152" t="e">
        <f t="shared" si="0"/>
        <v>#NUM!</v>
      </c>
      <c r="I45" s="73">
        <v>87.266564308822097</v>
      </c>
      <c r="J45" s="75">
        <v>1.54960197732443E-5</v>
      </c>
      <c r="K45" s="74">
        <v>0</v>
      </c>
      <c r="L45" s="73">
        <v>0</v>
      </c>
      <c r="M45" s="71" t="s">
        <v>132</v>
      </c>
      <c r="N45" s="73">
        <v>0</v>
      </c>
      <c r="O45" s="151" t="e">
        <f t="shared" si="1"/>
        <v>#NUM!</v>
      </c>
      <c r="Q45" s="97">
        <f t="shared" si="2"/>
        <v>19.899886785301</v>
      </c>
      <c r="R45" s="97">
        <f t="shared" si="3"/>
        <v>36.98576165691324</v>
      </c>
      <c r="S45" s="67">
        <v>87.268251381851002</v>
      </c>
      <c r="T45" s="67">
        <v>231.87009911039601</v>
      </c>
      <c r="U45" s="67">
        <v>1.268560553325</v>
      </c>
      <c r="V45" s="67">
        <v>92.65</v>
      </c>
      <c r="W45" s="67">
        <v>44.7</v>
      </c>
      <c r="X45" s="67">
        <f t="shared" si="4"/>
        <v>2.2350000000000002E-2</v>
      </c>
      <c r="Y45" s="67">
        <v>1</v>
      </c>
      <c r="Z45" s="96">
        <f t="shared" si="5"/>
        <v>0.99842817939396944</v>
      </c>
      <c r="AA45" s="96">
        <f t="shared" si="6"/>
        <v>1.0026211476302549</v>
      </c>
      <c r="AB45" s="96">
        <f t="shared" si="7"/>
        <v>0</v>
      </c>
      <c r="AC45" s="76" t="e">
        <f t="shared" si="8"/>
        <v>#NUM!</v>
      </c>
      <c r="AD45" s="162" t="e">
        <f t="shared" si="9"/>
        <v>#NUM!</v>
      </c>
      <c r="AM45" s="95">
        <f t="shared" si="10"/>
        <v>0</v>
      </c>
      <c r="AN45" s="95" t="e">
        <f t="shared" si="11"/>
        <v>#NUM!</v>
      </c>
      <c r="AO45" s="95" t="e">
        <f t="shared" si="12"/>
        <v>#NUM!</v>
      </c>
      <c r="AW45" s="71">
        <v>19.822770334720001</v>
      </c>
      <c r="AX45" s="71">
        <v>36.036414725252101</v>
      </c>
      <c r="AY45" s="73">
        <v>0</v>
      </c>
      <c r="AZ45" s="73">
        <v>87.374620729348095</v>
      </c>
      <c r="BA45" s="75">
        <v>1.54936368535147E-5</v>
      </c>
      <c r="BB45" s="74">
        <v>0</v>
      </c>
      <c r="BC45" s="73">
        <v>0</v>
      </c>
      <c r="BD45" s="161">
        <f t="shared" si="13"/>
        <v>0</v>
      </c>
      <c r="BE45" s="160">
        <v>5798.78</v>
      </c>
      <c r="BF45" s="159">
        <f t="shared" si="14"/>
        <v>0</v>
      </c>
      <c r="BG45" s="156" t="e">
        <f t="shared" si="15"/>
        <v>#NUM!</v>
      </c>
      <c r="BH45" s="154" t="e">
        <f t="shared" si="16"/>
        <v>#NUM!</v>
      </c>
      <c r="BI45" s="154" t="e">
        <f t="shared" si="17"/>
        <v>#DIV/0!</v>
      </c>
      <c r="BJ45" s="155">
        <f t="shared" si="18"/>
        <v>0</v>
      </c>
      <c r="BK45" s="154" t="e">
        <f t="shared" si="19"/>
        <v>#NUM!</v>
      </c>
      <c r="BL45" s="158" t="e">
        <f t="shared" si="20"/>
        <v>#NUM!</v>
      </c>
      <c r="BM45" s="151" t="e">
        <f t="shared" si="21"/>
        <v>#NUM!</v>
      </c>
      <c r="BN45" s="157" t="e">
        <f t="shared" si="22"/>
        <v>#NUM!</v>
      </c>
      <c r="BO45" s="156" t="e">
        <f t="shared" si="23"/>
        <v>#NUM!</v>
      </c>
      <c r="BP45" s="154" t="e">
        <f t="shared" si="24"/>
        <v>#NUM!</v>
      </c>
      <c r="BQ45" s="154" t="e">
        <f t="shared" si="25"/>
        <v>#NUM!</v>
      </c>
      <c r="BR45" s="155" t="e">
        <f t="shared" si="26"/>
        <v>#NUM!</v>
      </c>
      <c r="BS45" s="154" t="e">
        <f t="shared" si="27"/>
        <v>#NUM!</v>
      </c>
      <c r="BT45" s="151" t="e">
        <f t="shared" si="28"/>
        <v>#NUM!</v>
      </c>
      <c r="BU45" s="153" t="e">
        <f t="shared" si="29"/>
        <v>#NUM!</v>
      </c>
      <c r="BV45" s="68" t="e">
        <f t="shared" si="30"/>
        <v>#NUM!</v>
      </c>
    </row>
    <row r="46" spans="1:74" x14ac:dyDescent="0.25">
      <c r="C46" s="82" t="s">
        <v>185</v>
      </c>
      <c r="D46" s="79"/>
      <c r="E46" s="79"/>
      <c r="F46" s="76"/>
      <c r="G46" s="76"/>
      <c r="H46" s="79"/>
      <c r="I46" s="79"/>
      <c r="J46" s="81"/>
      <c r="K46" s="80"/>
      <c r="L46" s="79"/>
      <c r="M46" s="76"/>
      <c r="N46" s="79"/>
      <c r="O46" s="76"/>
      <c r="AW46" s="71"/>
      <c r="AX46" s="71"/>
      <c r="AY46" s="73"/>
      <c r="AZ46" s="73"/>
      <c r="BA46" s="75"/>
      <c r="BB46" s="74"/>
      <c r="BC46" s="73"/>
      <c r="BD46" s="72"/>
      <c r="BE46" s="71"/>
      <c r="BF46" s="71"/>
      <c r="BG46" s="71"/>
      <c r="BH46" s="71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69"/>
      <c r="BV46" s="68"/>
    </row>
    <row r="47" spans="1:74" x14ac:dyDescent="0.25">
      <c r="O47" s="76">
        <f>AVERAGE(O19:O44)</f>
        <v>1.8267460389523468E-2</v>
      </c>
      <c r="AW47" s="71"/>
      <c r="AX47" s="71"/>
      <c r="AY47" s="73"/>
      <c r="AZ47" s="73"/>
      <c r="BA47" s="75"/>
      <c r="BB47" s="74"/>
      <c r="BC47" s="73"/>
      <c r="BD47" s="72"/>
      <c r="BE47" s="71"/>
      <c r="BF47" s="71"/>
      <c r="BG47" s="71"/>
      <c r="BH47" s="71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69"/>
      <c r="BV47" s="68"/>
    </row>
    <row r="48" spans="1:74" hidden="1" x14ac:dyDescent="0.25">
      <c r="A48" s="78" t="s">
        <v>131</v>
      </c>
      <c r="B48" s="77" t="s">
        <v>130</v>
      </c>
      <c r="C48" s="77" t="s">
        <v>130</v>
      </c>
      <c r="D48" s="77" t="s">
        <v>129</v>
      </c>
      <c r="E48" s="77" t="s">
        <v>129</v>
      </c>
      <c r="F48" s="77" t="s">
        <v>129</v>
      </c>
      <c r="G48" s="77" t="s">
        <v>129</v>
      </c>
      <c r="H48" s="77" t="s">
        <v>129</v>
      </c>
      <c r="I48" s="77" t="s">
        <v>129</v>
      </c>
      <c r="J48" s="77" t="s">
        <v>129</v>
      </c>
      <c r="K48" s="77" t="s">
        <v>129</v>
      </c>
      <c r="L48" s="77" t="s">
        <v>129</v>
      </c>
      <c r="M48" s="77" t="s">
        <v>129</v>
      </c>
      <c r="N48" s="77" t="s">
        <v>129</v>
      </c>
      <c r="O48" s="77" t="s">
        <v>129</v>
      </c>
      <c r="AW48" s="71"/>
      <c r="AX48" s="71"/>
      <c r="AY48" s="73"/>
      <c r="AZ48" s="73"/>
      <c r="BA48" s="75"/>
      <c r="BB48" s="74"/>
      <c r="BC48" s="73"/>
      <c r="BD48" s="72"/>
      <c r="BE48" s="71"/>
      <c r="BF48" s="71"/>
      <c r="BG48" s="71"/>
      <c r="BH48" s="71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69"/>
      <c r="BV48" s="68"/>
    </row>
    <row r="49" spans="1:74" hidden="1" x14ac:dyDescent="0.25">
      <c r="A49" s="78" t="s">
        <v>128</v>
      </c>
      <c r="B49" s="77" t="s">
        <v>127</v>
      </c>
      <c r="C49" s="77" t="s">
        <v>126</v>
      </c>
      <c r="D49" s="77">
        <v>10</v>
      </c>
      <c r="E49" s="77">
        <v>7</v>
      </c>
      <c r="F49" s="77">
        <v>24</v>
      </c>
      <c r="G49" s="77">
        <v>21</v>
      </c>
      <c r="H49" s="77">
        <v>34</v>
      </c>
      <c r="I49" s="77">
        <v>48</v>
      </c>
      <c r="J49" s="77">
        <v>94</v>
      </c>
      <c r="K49" s="77">
        <v>26</v>
      </c>
      <c r="L49" s="77">
        <v>18</v>
      </c>
      <c r="M49" s="77">
        <v>19</v>
      </c>
      <c r="N49" s="77">
        <v>16</v>
      </c>
      <c r="O49" s="77">
        <v>31</v>
      </c>
      <c r="AW49" s="71"/>
      <c r="AX49" s="71"/>
      <c r="AY49" s="73"/>
      <c r="AZ49" s="73"/>
      <c r="BA49" s="75"/>
      <c r="BB49" s="74"/>
      <c r="BC49" s="73"/>
      <c r="BD49" s="72"/>
      <c r="BE49" s="71"/>
      <c r="BF49" s="71"/>
      <c r="BG49" s="71"/>
      <c r="BH49" s="71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69"/>
      <c r="BV49" s="68"/>
    </row>
    <row r="50" spans="1:74" hidden="1" x14ac:dyDescent="0.25">
      <c r="A50" s="78" t="s">
        <v>125</v>
      </c>
      <c r="B50" s="77">
        <v>-1</v>
      </c>
      <c r="C50" s="77">
        <v>-1</v>
      </c>
      <c r="D50" s="77">
        <v>89</v>
      </c>
      <c r="E50" s="77">
        <v>89</v>
      </c>
      <c r="F50" s="77">
        <v>89</v>
      </c>
      <c r="G50" s="77">
        <v>89</v>
      </c>
      <c r="H50" s="77">
        <v>89</v>
      </c>
      <c r="I50" s="77">
        <v>89</v>
      </c>
      <c r="J50" s="77">
        <v>89</v>
      </c>
      <c r="K50" s="77">
        <v>89</v>
      </c>
      <c r="L50" s="77">
        <v>89</v>
      </c>
      <c r="M50" s="77">
        <v>89</v>
      </c>
      <c r="N50" s="77">
        <v>89</v>
      </c>
      <c r="O50" s="77">
        <v>89</v>
      </c>
      <c r="AW50" s="71"/>
      <c r="AX50" s="71"/>
      <c r="AY50" s="73"/>
      <c r="AZ50" s="73"/>
      <c r="BA50" s="75"/>
      <c r="BB50" s="74"/>
      <c r="BC50" s="73"/>
      <c r="BD50" s="72"/>
      <c r="BE50" s="71"/>
      <c r="BF50" s="71"/>
      <c r="BG50" s="71"/>
      <c r="BH50" s="71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69"/>
      <c r="BV50" s="68"/>
    </row>
    <row r="51" spans="1:74" hidden="1" x14ac:dyDescent="0.25">
      <c r="A51" s="78" t="s">
        <v>124</v>
      </c>
      <c r="B51" s="77" t="s">
        <v>7</v>
      </c>
      <c r="C51" s="77" t="s">
        <v>7</v>
      </c>
      <c r="D51" s="77" t="s">
        <v>123</v>
      </c>
      <c r="E51" s="77" t="s">
        <v>8</v>
      </c>
      <c r="F51" s="77" t="s">
        <v>9</v>
      </c>
      <c r="G51" s="77" t="s">
        <v>122</v>
      </c>
      <c r="H51" s="77" t="s">
        <v>38</v>
      </c>
      <c r="I51" s="77" t="s">
        <v>11</v>
      </c>
      <c r="J51" s="77" t="s">
        <v>121</v>
      </c>
      <c r="K51" s="77" t="s">
        <v>120</v>
      </c>
      <c r="L51" s="77" t="s">
        <v>101</v>
      </c>
      <c r="M51" s="77" t="s">
        <v>119</v>
      </c>
      <c r="N51" s="77" t="s">
        <v>38</v>
      </c>
      <c r="O51" s="77" t="s">
        <v>10</v>
      </c>
      <c r="AW51" s="71"/>
      <c r="AX51" s="71"/>
      <c r="AY51" s="73"/>
      <c r="AZ51" s="73"/>
      <c r="BA51" s="75"/>
      <c r="BB51" s="74"/>
      <c r="BC51" s="73"/>
      <c r="BD51" s="72"/>
      <c r="BE51" s="71"/>
      <c r="BF51" s="71"/>
      <c r="BG51" s="71"/>
      <c r="BH51" s="71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69"/>
      <c r="BV51" s="68"/>
    </row>
    <row r="52" spans="1:74" hidden="1" x14ac:dyDescent="0.25">
      <c r="A52" s="78" t="s">
        <v>118</v>
      </c>
      <c r="B52" s="77"/>
      <c r="C52" s="77"/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AW52" s="71"/>
      <c r="AX52" s="71"/>
      <c r="AY52" s="73"/>
      <c r="AZ52" s="73"/>
      <c r="BA52" s="75"/>
      <c r="BB52" s="74"/>
      <c r="BC52" s="73"/>
      <c r="BD52" s="72"/>
      <c r="BE52" s="71"/>
      <c r="BF52" s="71"/>
      <c r="BG52" s="71"/>
      <c r="BH52" s="71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69"/>
      <c r="BV52" s="68"/>
    </row>
    <row r="53" spans="1:74" x14ac:dyDescent="0.25">
      <c r="AW53" s="71"/>
      <c r="AX53" s="71"/>
      <c r="AY53" s="73"/>
      <c r="AZ53" s="73"/>
      <c r="BA53" s="75"/>
      <c r="BB53" s="74"/>
      <c r="BC53" s="73"/>
      <c r="BD53" s="72"/>
      <c r="BE53" s="71"/>
      <c r="BF53" s="71"/>
      <c r="BG53" s="71"/>
      <c r="BH53" s="71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69"/>
      <c r="BV53" s="68"/>
    </row>
    <row r="54" spans="1:74" x14ac:dyDescent="0.25">
      <c r="AW54" s="71"/>
      <c r="AX54" s="71"/>
      <c r="AY54" s="73"/>
      <c r="AZ54" s="73"/>
      <c r="BA54" s="75"/>
      <c r="BB54" s="74"/>
      <c r="BC54" s="73"/>
      <c r="BD54" s="72"/>
      <c r="BE54" s="71"/>
      <c r="BF54" s="71"/>
      <c r="BG54" s="71"/>
      <c r="BH54" s="71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69"/>
      <c r="BV54" s="68"/>
    </row>
  </sheetData>
  <mergeCells count="125">
    <mergeCell ref="AT36:AT38"/>
    <mergeCell ref="AU36:AU38"/>
    <mergeCell ref="AR39:AR41"/>
    <mergeCell ref="AS39:AS41"/>
    <mergeCell ref="AT39:AT41"/>
    <mergeCell ref="AU39:AU41"/>
    <mergeCell ref="AR42:AR44"/>
    <mergeCell ref="AS42:AS44"/>
    <mergeCell ref="AT42:AT44"/>
    <mergeCell ref="AU42:AU44"/>
    <mergeCell ref="AR36:AR38"/>
    <mergeCell ref="AS36:AS38"/>
    <mergeCell ref="AR33:AR35"/>
    <mergeCell ref="AS33:AS35"/>
    <mergeCell ref="AT33:AT35"/>
    <mergeCell ref="AU33:AU35"/>
    <mergeCell ref="AW10:BV10"/>
    <mergeCell ref="AP10:AQ10"/>
    <mergeCell ref="AR13:AR15"/>
    <mergeCell ref="AS13:AS15"/>
    <mergeCell ref="AT13:AT15"/>
    <mergeCell ref="AU13:AU15"/>
    <mergeCell ref="AR22:AR24"/>
    <mergeCell ref="AS22:AS24"/>
    <mergeCell ref="AT22:AT24"/>
    <mergeCell ref="AU22:AU24"/>
    <mergeCell ref="AR30:AR32"/>
    <mergeCell ref="AS30:AS32"/>
    <mergeCell ref="AT30:AT32"/>
    <mergeCell ref="AU30:AU32"/>
    <mergeCell ref="AR25:AR29"/>
    <mergeCell ref="AS25:AS29"/>
    <mergeCell ref="AT25:AT29"/>
    <mergeCell ref="AU25:AU29"/>
    <mergeCell ref="AQ30:AQ32"/>
    <mergeCell ref="AQ33:AQ35"/>
    <mergeCell ref="Q10:U10"/>
    <mergeCell ref="AE10:AF10"/>
    <mergeCell ref="AE13:AE15"/>
    <mergeCell ref="AF13:AF15"/>
    <mergeCell ref="AG13:AG15"/>
    <mergeCell ref="AE16:AE18"/>
    <mergeCell ref="AS16:AS18"/>
    <mergeCell ref="AT16:AT18"/>
    <mergeCell ref="AQ42:AQ44"/>
    <mergeCell ref="AP30:AP32"/>
    <mergeCell ref="AP33:AP35"/>
    <mergeCell ref="AP36:AP38"/>
    <mergeCell ref="AP39:AP41"/>
    <mergeCell ref="AP42:AP44"/>
    <mergeCell ref="AP19:AP21"/>
    <mergeCell ref="AP22:AP24"/>
    <mergeCell ref="AR19:AR21"/>
    <mergeCell ref="AS19:AS21"/>
    <mergeCell ref="AT19:AT21"/>
    <mergeCell ref="AP13:AP15"/>
    <mergeCell ref="AQ13:AQ15"/>
    <mergeCell ref="AP16:AP18"/>
    <mergeCell ref="AQ16:AQ18"/>
    <mergeCell ref="AR16:AR18"/>
    <mergeCell ref="AQ36:AQ38"/>
    <mergeCell ref="AQ39:AQ41"/>
    <mergeCell ref="AH13:AH15"/>
    <mergeCell ref="AI13:AI15"/>
    <mergeCell ref="AJ13:AJ15"/>
    <mergeCell ref="AJ25:AJ29"/>
    <mergeCell ref="AI30:AI32"/>
    <mergeCell ref="AJ30:AJ32"/>
    <mergeCell ref="AP25:AP29"/>
    <mergeCell ref="AQ19:AQ21"/>
    <mergeCell ref="AQ22:AQ24"/>
    <mergeCell ref="AQ25:AQ29"/>
    <mergeCell ref="AE30:AE32"/>
    <mergeCell ref="AF30:AF32"/>
    <mergeCell ref="AG30:AG32"/>
    <mergeCell ref="AH30:AH32"/>
    <mergeCell ref="AE22:AE24"/>
    <mergeCell ref="AF22:AF24"/>
    <mergeCell ref="AG22:AG24"/>
    <mergeCell ref="AH22:AH24"/>
    <mergeCell ref="AI22:AI24"/>
    <mergeCell ref="AE25:AE29"/>
    <mergeCell ref="AF25:AF29"/>
    <mergeCell ref="AG25:AG29"/>
    <mergeCell ref="AH25:AH29"/>
    <mergeCell ref="AI25:AI29"/>
    <mergeCell ref="AM9:AU9"/>
    <mergeCell ref="AE19:AE21"/>
    <mergeCell ref="AF19:AF21"/>
    <mergeCell ref="AG19:AG21"/>
    <mergeCell ref="AH19:AH21"/>
    <mergeCell ref="AI19:AI21"/>
    <mergeCell ref="AJ22:AJ24"/>
    <mergeCell ref="AF16:AF18"/>
    <mergeCell ref="AG16:AG18"/>
    <mergeCell ref="AH16:AH18"/>
    <mergeCell ref="AI16:AI18"/>
    <mergeCell ref="AJ16:AJ18"/>
    <mergeCell ref="AJ19:AJ21"/>
    <mergeCell ref="AU19:AU21"/>
    <mergeCell ref="AU16:AU18"/>
    <mergeCell ref="AE42:AE44"/>
    <mergeCell ref="AF42:AF44"/>
    <mergeCell ref="AG42:AG44"/>
    <mergeCell ref="AH42:AH44"/>
    <mergeCell ref="AI42:AI44"/>
    <mergeCell ref="AJ42:AJ44"/>
    <mergeCell ref="AE39:AE41"/>
    <mergeCell ref="AF39:AF41"/>
    <mergeCell ref="AG39:AG41"/>
    <mergeCell ref="AF33:AF35"/>
    <mergeCell ref="AG33:AG35"/>
    <mergeCell ref="AH33:AH35"/>
    <mergeCell ref="AH39:AH41"/>
    <mergeCell ref="AI39:AI41"/>
    <mergeCell ref="AJ33:AJ35"/>
    <mergeCell ref="AE36:AE38"/>
    <mergeCell ref="AF36:AF38"/>
    <mergeCell ref="AG36:AG38"/>
    <mergeCell ref="AH36:AH38"/>
    <mergeCell ref="AI36:AI38"/>
    <mergeCell ref="AJ36:AJ38"/>
    <mergeCell ref="AE33:AE35"/>
    <mergeCell ref="AJ39:AJ41"/>
    <mergeCell ref="AI33:AI35"/>
  </mergeCells>
  <conditionalFormatting sqref="AG13:AG25">
    <cfRule type="cellIs" dxfId="3" priority="1" operator="greaterThan">
      <formula>0.15</formula>
    </cfRule>
  </conditionalFormatting>
  <conditionalFormatting sqref="AG30:AG44">
    <cfRule type="cellIs" dxfId="2" priority="2" operator="greaterThan">
      <formula>0.15</formula>
    </cfRule>
  </conditionalFormatting>
  <conditionalFormatting sqref="AR13:AR25">
    <cfRule type="cellIs" dxfId="1" priority="3" operator="greaterThan">
      <formula>0.15</formula>
    </cfRule>
  </conditionalFormatting>
  <conditionalFormatting sqref="AR30:AR44">
    <cfRule type="cellIs" dxfId="0" priority="4" operator="greaterThan">
      <formula>0.15</formula>
    </cfRule>
  </conditionalFormatting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5D6F-3830-4601-B757-15E82311151F}">
  <dimension ref="C2:AG27"/>
  <sheetViews>
    <sheetView workbookViewId="0">
      <selection activeCell="N8" sqref="N8"/>
    </sheetView>
  </sheetViews>
  <sheetFormatPr defaultRowHeight="15" x14ac:dyDescent="0.25"/>
  <cols>
    <col min="3" max="3" width="16.28515625" customWidth="1"/>
    <col min="4" max="4" width="20.5703125" customWidth="1"/>
    <col min="7" max="7" width="9" bestFit="1" customWidth="1"/>
  </cols>
  <sheetData>
    <row r="2" spans="3:33" ht="26.25" customHeight="1" x14ac:dyDescent="0.25">
      <c r="C2" s="192" t="s">
        <v>12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28"/>
      <c r="AF2" s="28"/>
      <c r="AG2" s="28"/>
    </row>
    <row r="3" spans="3:33" ht="26.25" customHeight="1" x14ac:dyDescent="0.25"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28"/>
      <c r="AF3" s="28"/>
      <c r="AG3" s="28"/>
    </row>
    <row r="4" spans="3:33" x14ac:dyDescent="0.25">
      <c r="AB4" s="7"/>
      <c r="AC4" s="7"/>
      <c r="AD4" s="7"/>
      <c r="AE4" s="7"/>
      <c r="AF4" s="7"/>
      <c r="AG4" s="7"/>
    </row>
    <row r="5" spans="3:33" x14ac:dyDescent="0.25">
      <c r="C5" t="s">
        <v>194</v>
      </c>
      <c r="D5" s="168"/>
      <c r="E5" s="168"/>
      <c r="F5">
        <v>1.37</v>
      </c>
      <c r="G5" s="34" t="s">
        <v>195</v>
      </c>
      <c r="AB5" s="7"/>
      <c r="AC5" s="7"/>
      <c r="AD5" s="7"/>
      <c r="AE5" s="7"/>
      <c r="AF5" s="7"/>
      <c r="AG5" s="7"/>
    </row>
    <row r="6" spans="3:33" x14ac:dyDescent="0.25">
      <c r="C6" t="s">
        <v>196</v>
      </c>
      <c r="D6" s="34"/>
      <c r="E6" s="34"/>
      <c r="F6">
        <v>28.013480000000001</v>
      </c>
      <c r="G6" s="34" t="s">
        <v>197</v>
      </c>
      <c r="AB6" s="7"/>
      <c r="AC6" s="7"/>
      <c r="AD6" s="7"/>
      <c r="AE6" s="7"/>
      <c r="AF6" s="7"/>
      <c r="AG6" s="7"/>
    </row>
    <row r="7" spans="3:33" x14ac:dyDescent="0.25">
      <c r="D7" s="169"/>
      <c r="E7" s="169"/>
      <c r="F7" s="169" t="s">
        <v>199</v>
      </c>
      <c r="AB7" s="7"/>
      <c r="AC7" s="7"/>
      <c r="AD7" s="7"/>
      <c r="AE7" s="7"/>
      <c r="AF7" s="7"/>
      <c r="AG7" s="7"/>
    </row>
    <row r="8" spans="3:33" x14ac:dyDescent="0.25">
      <c r="AB8" s="7"/>
      <c r="AC8" s="7"/>
      <c r="AD8" s="7"/>
      <c r="AE8" s="7"/>
      <c r="AF8" s="7"/>
      <c r="AG8" s="7"/>
    </row>
    <row r="9" spans="3:33" x14ac:dyDescent="0.25">
      <c r="C9" s="7" t="s">
        <v>54</v>
      </c>
      <c r="D9" s="56"/>
      <c r="AB9" s="7"/>
      <c r="AC9" s="7">
        <f>AVERAGE(AC13:AC27,AC37:AC54)</f>
        <v>0.44451018342487103</v>
      </c>
      <c r="AD9" s="7"/>
      <c r="AE9" s="7"/>
      <c r="AF9" s="7"/>
      <c r="AG9" s="7"/>
    </row>
    <row r="10" spans="3:33" ht="21" x14ac:dyDescent="0.35">
      <c r="C10" s="1" t="s">
        <v>35</v>
      </c>
      <c r="E10" s="3"/>
      <c r="F10" s="1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</row>
    <row r="11" spans="3:33" ht="60" x14ac:dyDescent="0.25">
      <c r="C11" s="14" t="s">
        <v>44</v>
      </c>
      <c r="D11" s="14" t="s">
        <v>0</v>
      </c>
      <c r="E11" s="8" t="s">
        <v>1</v>
      </c>
      <c r="F11" s="15" t="s">
        <v>36</v>
      </c>
      <c r="G11" s="15" t="s">
        <v>2</v>
      </c>
      <c r="H11" s="15" t="s">
        <v>3</v>
      </c>
      <c r="I11" s="15" t="s">
        <v>4</v>
      </c>
      <c r="J11" s="15" t="s">
        <v>37</v>
      </c>
      <c r="K11" s="15" t="s">
        <v>93</v>
      </c>
      <c r="L11" s="15" t="s">
        <v>198</v>
      </c>
      <c r="M11" s="15" t="s">
        <v>94</v>
      </c>
      <c r="N11" s="15" t="s">
        <v>95</v>
      </c>
      <c r="O11" s="15" t="s">
        <v>96</v>
      </c>
      <c r="P11" s="15" t="s">
        <v>97</v>
      </c>
      <c r="Q11" s="15" t="s">
        <v>98</v>
      </c>
      <c r="R11" s="15" t="s">
        <v>105</v>
      </c>
      <c r="S11" s="15" t="s">
        <v>99</v>
      </c>
      <c r="T11" s="15" t="s">
        <v>103</v>
      </c>
      <c r="U11" s="15" t="s">
        <v>5</v>
      </c>
      <c r="V11" s="4" t="s">
        <v>51</v>
      </c>
      <c r="W11" s="35" t="s">
        <v>20</v>
      </c>
      <c r="X11" s="35" t="s">
        <v>21</v>
      </c>
      <c r="Y11" s="35" t="s">
        <v>42</v>
      </c>
      <c r="Z11" s="35" t="s">
        <v>43</v>
      </c>
      <c r="AA11" s="35" t="s">
        <v>22</v>
      </c>
      <c r="AB11" s="35" t="s">
        <v>52</v>
      </c>
      <c r="AC11" s="35" t="s">
        <v>23</v>
      </c>
      <c r="AD11" s="35" t="s">
        <v>39</v>
      </c>
      <c r="AF11" s="35" t="s">
        <v>48</v>
      </c>
      <c r="AG11" s="35" t="s">
        <v>46</v>
      </c>
    </row>
    <row r="12" spans="3:33" x14ac:dyDescent="0.25">
      <c r="C12" s="51" t="s">
        <v>7</v>
      </c>
      <c r="D12" s="16" t="s">
        <v>7</v>
      </c>
      <c r="E12" s="17" t="s">
        <v>7</v>
      </c>
      <c r="F12" s="18" t="s">
        <v>38</v>
      </c>
      <c r="G12" s="18" t="s">
        <v>41</v>
      </c>
      <c r="H12" s="18" t="s">
        <v>9</v>
      </c>
      <c r="I12" s="18" t="s">
        <v>11</v>
      </c>
      <c r="J12" s="18" t="s">
        <v>38</v>
      </c>
      <c r="K12" s="18" t="s">
        <v>100</v>
      </c>
      <c r="L12" s="18" t="s">
        <v>100</v>
      </c>
      <c r="M12" s="18" t="s">
        <v>101</v>
      </c>
      <c r="N12" s="18" t="s">
        <v>102</v>
      </c>
      <c r="O12" s="18" t="s">
        <v>104</v>
      </c>
      <c r="P12" s="18" t="s">
        <v>7</v>
      </c>
      <c r="Q12" s="18" t="s">
        <v>7</v>
      </c>
      <c r="R12" s="18"/>
      <c r="S12" s="18" t="s">
        <v>7</v>
      </c>
      <c r="T12" s="18" t="s">
        <v>38</v>
      </c>
      <c r="U12" s="18" t="s">
        <v>10</v>
      </c>
      <c r="V12" s="5" t="s">
        <v>10</v>
      </c>
      <c r="W12" s="36" t="s">
        <v>10</v>
      </c>
      <c r="X12" s="37"/>
      <c r="Y12" s="37"/>
      <c r="Z12" s="37"/>
      <c r="AA12" s="38" t="s">
        <v>10</v>
      </c>
      <c r="AB12" s="23" t="s">
        <v>10</v>
      </c>
      <c r="AC12" s="23" t="s">
        <v>10</v>
      </c>
      <c r="AD12" s="23" t="s">
        <v>38</v>
      </c>
      <c r="AF12" s="23" t="s">
        <v>47</v>
      </c>
      <c r="AG12" s="23" t="s">
        <v>47</v>
      </c>
    </row>
    <row r="13" spans="3:33" x14ac:dyDescent="0.25">
      <c r="C13" s="11" t="s">
        <v>199</v>
      </c>
      <c r="D13" s="50">
        <v>45811</v>
      </c>
      <c r="E13" s="10"/>
      <c r="F13" s="48">
        <v>8.1217545745151484E-2</v>
      </c>
      <c r="G13" s="48">
        <v>21.023262500000001</v>
      </c>
      <c r="H13" s="48">
        <v>21.400666999816895</v>
      </c>
      <c r="I13" s="48">
        <v>14.614788733099999</v>
      </c>
      <c r="J13" s="48">
        <v>8.0261403401692716E-2</v>
      </c>
      <c r="K13" s="48">
        <v>435.35324298</v>
      </c>
      <c r="L13" s="48">
        <f>SQRT(($F$5)*8.314*(H13+273.15)/($F$6/1000))</f>
        <v>346.06825853222006</v>
      </c>
      <c r="M13" s="48">
        <v>93.52</v>
      </c>
      <c r="N13" s="48">
        <v>44.7</v>
      </c>
      <c r="O13" s="58">
        <f t="shared" ref="O13:O27" si="0">N13/2/1000</f>
        <v>2.2350000000000002E-2</v>
      </c>
      <c r="P13" s="48">
        <v>1</v>
      </c>
      <c r="Q13" s="57">
        <f>1/(1+P13*0.5*(2*PI()*M13/K13*O13)^2)</f>
        <v>0.99954520815777526</v>
      </c>
      <c r="R13" s="57">
        <v>-7.7000000000000002E-3</v>
      </c>
      <c r="S13" s="57">
        <f>1/(1+R13/100*((G13)-2.06843))</f>
        <v>1.001461655420893</v>
      </c>
      <c r="T13" s="48">
        <f>J13*S13*Q13</f>
        <v>8.0342162331866127E-2</v>
      </c>
      <c r="U13" s="49">
        <f t="shared" ref="U13:U26" si="1">(T13-F13)/F13*100</f>
        <v>-1.0778254935604432</v>
      </c>
      <c r="V13" s="6">
        <v>0.23</v>
      </c>
      <c r="W13" s="190">
        <f t="shared" ref="W13" si="2">AVERAGE(U13:U15)</f>
        <v>-1.0717801185630931</v>
      </c>
      <c r="X13" s="188">
        <f t="shared" ref="X13" si="3">STDEV(U13:U15)</f>
        <v>8.549451310883938E-3</v>
      </c>
      <c r="Y13" s="188">
        <f>COUNT(V13:V15)</f>
        <v>2</v>
      </c>
      <c r="Z13" s="185">
        <f t="shared" ref="Z13" si="4">TINV(0.05,Y13-1)</f>
        <v>12.706204736174707</v>
      </c>
      <c r="AA13" s="185">
        <f>X13*Z13/SQRT(Y13)</f>
        <v>7.6813772423283896E-2</v>
      </c>
      <c r="AB13" s="188">
        <f t="shared" ref="AB13" si="5">AVERAGE(V13:V15)</f>
        <v>0.23</v>
      </c>
      <c r="AC13" s="188">
        <f t="shared" ref="AC13" si="6">SQRT(AA13^2+AB13^2)</f>
        <v>0.24248784636326839</v>
      </c>
      <c r="AD13" s="189">
        <f t="shared" ref="AD13" si="7">AVERAGE(F13:F15)</f>
        <v>8.1228581962384278E-2</v>
      </c>
      <c r="AF13" s="52">
        <f t="shared" ref="AF13:AF26" si="8">J13/I13*3600</f>
        <v>19.77045700234391</v>
      </c>
      <c r="AG13" s="187">
        <f t="shared" ref="AG13" si="9">AVERAGE(AF13:AF15)</f>
        <v>19.770619285119945</v>
      </c>
    </row>
    <row r="14" spans="3:33" x14ac:dyDescent="0.25">
      <c r="C14" s="11" t="s">
        <v>199</v>
      </c>
      <c r="D14" s="50">
        <v>45811</v>
      </c>
      <c r="E14" s="10"/>
      <c r="F14" s="48">
        <v>8.1239618179617057E-2</v>
      </c>
      <c r="G14" s="48">
        <v>21.030138085937502</v>
      </c>
      <c r="H14" s="48">
        <v>21.425542449951173</v>
      </c>
      <c r="I14" s="48">
        <v>14.620298947</v>
      </c>
      <c r="J14" s="48">
        <v>8.0292982482910169E-2</v>
      </c>
      <c r="K14" s="48">
        <v>435.374334326</v>
      </c>
      <c r="L14" s="48">
        <f t="shared" ref="L14:L26" si="10">SQRT(($F$5)*8.314*(H14+273.15)/($F$6/1000))</f>
        <v>346.08287133559554</v>
      </c>
      <c r="M14" s="48">
        <v>93.52</v>
      </c>
      <c r="N14" s="48">
        <v>44.7</v>
      </c>
      <c r="O14" s="58">
        <f t="shared" si="0"/>
        <v>2.2350000000000002E-2</v>
      </c>
      <c r="P14" s="48">
        <v>1</v>
      </c>
      <c r="Q14" s="57">
        <f t="shared" ref="Q14:Q26" si="11">1/(1+P14*0.5*(2*PI()*M14/K14*O14)^2)</f>
        <v>0.99954525220069246</v>
      </c>
      <c r="R14" s="57">
        <v>-7.7000000000000002E-3</v>
      </c>
      <c r="S14" s="57">
        <f t="shared" ref="S14:S27" si="12">1/(1+R14/100*((G14)-2.06843))</f>
        <v>1.0014621863900823</v>
      </c>
      <c r="T14" s="48">
        <f t="shared" ref="T14:T26" si="13">J14*S14*Q14</f>
        <v>8.0373819343136726E-2</v>
      </c>
      <c r="U14" s="49">
        <f t="shared" si="1"/>
        <v>-1.0657347435657427</v>
      </c>
      <c r="V14" s="6">
        <v>0.23</v>
      </c>
      <c r="W14" s="190"/>
      <c r="X14" s="188"/>
      <c r="Y14" s="188"/>
      <c r="Z14" s="185"/>
      <c r="AA14" s="185"/>
      <c r="AB14" s="188"/>
      <c r="AC14" s="188"/>
      <c r="AD14" s="189"/>
      <c r="AF14" s="52">
        <f t="shared" si="8"/>
        <v>19.77078156789598</v>
      </c>
      <c r="AG14" s="187"/>
    </row>
    <row r="15" spans="3:33" x14ac:dyDescent="0.25">
      <c r="C15" s="11" t="s">
        <v>199</v>
      </c>
      <c r="D15" s="50"/>
      <c r="E15" s="10"/>
      <c r="F15" s="48"/>
      <c r="G15" s="48"/>
      <c r="H15" s="48"/>
      <c r="I15" s="48"/>
      <c r="J15" s="48"/>
      <c r="K15" s="48"/>
      <c r="L15" s="48">
        <f t="shared" si="10"/>
        <v>333.25936670267623</v>
      </c>
      <c r="M15" s="48">
        <v>93.52</v>
      </c>
      <c r="N15" s="48">
        <v>44.7</v>
      </c>
      <c r="O15" s="58">
        <f t="shared" si="0"/>
        <v>2.2350000000000002E-2</v>
      </c>
      <c r="P15" s="48">
        <v>1</v>
      </c>
      <c r="Q15" s="57"/>
      <c r="R15" s="57">
        <v>-7.7000000000000002E-3</v>
      </c>
      <c r="S15" s="57">
        <f t="shared" si="12"/>
        <v>0.99984075625260982</v>
      </c>
      <c r="T15" s="48"/>
      <c r="U15" s="49"/>
      <c r="V15" s="6"/>
      <c r="W15" s="190"/>
      <c r="X15" s="188"/>
      <c r="Y15" s="188"/>
      <c r="Z15" s="185"/>
      <c r="AA15" s="185"/>
      <c r="AB15" s="188"/>
      <c r="AC15" s="188"/>
      <c r="AD15" s="189"/>
      <c r="AF15" s="52"/>
      <c r="AG15" s="187"/>
    </row>
    <row r="16" spans="3:33" x14ac:dyDescent="0.25">
      <c r="C16" s="11" t="s">
        <v>199</v>
      </c>
      <c r="D16" s="50">
        <v>45811</v>
      </c>
      <c r="E16" s="10"/>
      <c r="F16" s="48">
        <v>0.16246979038246809</v>
      </c>
      <c r="G16" s="48">
        <v>21.0264736328125</v>
      </c>
      <c r="H16" s="48">
        <v>21.399155998229979</v>
      </c>
      <c r="I16" s="48">
        <v>14.6220058176</v>
      </c>
      <c r="J16" s="48">
        <v>0.1618351847330729</v>
      </c>
      <c r="K16" s="48">
        <v>435.35065740499999</v>
      </c>
      <c r="L16" s="48">
        <f t="shared" si="10"/>
        <v>346.0673708914556</v>
      </c>
      <c r="M16" s="48">
        <v>93.52</v>
      </c>
      <c r="N16" s="48">
        <v>44.7</v>
      </c>
      <c r="O16" s="58">
        <f t="shared" si="0"/>
        <v>2.2350000000000002E-2</v>
      </c>
      <c r="P16" s="48">
        <v>1</v>
      </c>
      <c r="Q16" s="57">
        <f t="shared" si="11"/>
        <v>0.99954520275814129</v>
      </c>
      <c r="R16" s="57">
        <v>-7.7000000000000002E-3</v>
      </c>
      <c r="S16" s="57">
        <f t="shared" si="12"/>
        <v>1.0014619034015191</v>
      </c>
      <c r="T16" s="48">
        <f t="shared" si="13"/>
        <v>0.16199806234516717</v>
      </c>
      <c r="U16" s="49">
        <f t="shared" si="1"/>
        <v>-0.29034815407247583</v>
      </c>
      <c r="V16" s="6">
        <v>0.23</v>
      </c>
      <c r="W16" s="190">
        <f t="shared" ref="W16" si="14">AVERAGE(U16:U18)</f>
        <v>-0.23207250497975493</v>
      </c>
      <c r="X16" s="188">
        <f t="shared" ref="X16" si="15">STDEV(U16:U18)</f>
        <v>8.2414213303021275E-2</v>
      </c>
      <c r="Y16" s="188">
        <f t="shared" ref="Y16" si="16">COUNT(V16:V18)</f>
        <v>2</v>
      </c>
      <c r="Z16" s="185">
        <f t="shared" ref="Z16" si="17">TINV(0.05,Y16-1)</f>
        <v>12.706204736174707</v>
      </c>
      <c r="AA16" s="185">
        <f t="shared" ref="AA16" si="18">X16*Z16/SQRT(Y16)</f>
        <v>0.74046232850558569</v>
      </c>
      <c r="AB16" s="188">
        <f t="shared" ref="AB16" si="19">AVERAGE(V16:V18)</f>
        <v>0.23</v>
      </c>
      <c r="AC16" s="188">
        <f t="shared" ref="AC16" si="20">SQRT(AA16^2+AB16^2)</f>
        <v>0.77536085788225984</v>
      </c>
      <c r="AD16" s="189">
        <f t="shared" ref="AD16" si="21">AVERAGE(F16:F18)</f>
        <v>0.16247612421514079</v>
      </c>
      <c r="AF16" s="52">
        <f t="shared" si="8"/>
        <v>39.844510548463816</v>
      </c>
      <c r="AG16" s="187">
        <f t="shared" ref="AG16" si="22">AVERAGE(AF16:AF18)</f>
        <v>39.875326238873441</v>
      </c>
    </row>
    <row r="17" spans="3:33" x14ac:dyDescent="0.25">
      <c r="C17" s="11" t="s">
        <v>199</v>
      </c>
      <c r="D17" s="50">
        <v>45811</v>
      </c>
      <c r="E17" s="10"/>
      <c r="F17" s="48">
        <v>0.16248245804781347</v>
      </c>
      <c r="G17" s="48">
        <v>21.023533789062501</v>
      </c>
      <c r="H17" s="48">
        <v>21.350899124145506</v>
      </c>
      <c r="I17" s="48">
        <v>14.6176329141</v>
      </c>
      <c r="J17" s="48">
        <v>0.16203703715006509</v>
      </c>
      <c r="K17" s="48">
        <v>435.31377754900001</v>
      </c>
      <c r="L17" s="48">
        <f t="shared" si="10"/>
        <v>346.03902110116439</v>
      </c>
      <c r="M17" s="48">
        <v>93.52</v>
      </c>
      <c r="N17" s="48">
        <v>44.7</v>
      </c>
      <c r="O17" s="58">
        <f t="shared" si="0"/>
        <v>2.2350000000000002E-2</v>
      </c>
      <c r="P17" s="48">
        <v>1</v>
      </c>
      <c r="Q17" s="57">
        <f t="shared" si="11"/>
        <v>0.99954512572893484</v>
      </c>
      <c r="R17" s="57">
        <v>-7.7000000000000002E-3</v>
      </c>
      <c r="S17" s="57">
        <f t="shared" si="12"/>
        <v>1.0014616763712616</v>
      </c>
      <c r="T17" s="48">
        <f t="shared" si="13"/>
        <v>0.1622000686443584</v>
      </c>
      <c r="U17" s="49">
        <f t="shared" si="1"/>
        <v>-0.17379685588703403</v>
      </c>
      <c r="V17" s="6">
        <v>0.23</v>
      </c>
      <c r="W17" s="190"/>
      <c r="X17" s="188"/>
      <c r="Y17" s="188"/>
      <c r="Z17" s="185"/>
      <c r="AA17" s="185"/>
      <c r="AB17" s="188"/>
      <c r="AC17" s="188"/>
      <c r="AD17" s="189"/>
      <c r="AF17" s="52">
        <f t="shared" si="8"/>
        <v>39.906141929283073</v>
      </c>
      <c r="AG17" s="187"/>
    </row>
    <row r="18" spans="3:33" x14ac:dyDescent="0.25">
      <c r="C18" s="11" t="s">
        <v>199</v>
      </c>
      <c r="D18" s="50"/>
      <c r="E18" s="10"/>
      <c r="F18" s="48"/>
      <c r="G18" s="48"/>
      <c r="H18" s="48"/>
      <c r="I18" s="48"/>
      <c r="J18" s="48"/>
      <c r="K18" s="48"/>
      <c r="L18" s="48">
        <f t="shared" si="10"/>
        <v>333.25936670267623</v>
      </c>
      <c r="M18" s="48">
        <v>93.52</v>
      </c>
      <c r="N18" s="48">
        <v>44.7</v>
      </c>
      <c r="O18" s="58">
        <f t="shared" si="0"/>
        <v>2.2350000000000002E-2</v>
      </c>
      <c r="P18" s="48">
        <v>1</v>
      </c>
      <c r="Q18" s="57"/>
      <c r="R18" s="57">
        <v>-7.7000000000000002E-3</v>
      </c>
      <c r="S18" s="57">
        <f t="shared" si="12"/>
        <v>0.99984075625260982</v>
      </c>
      <c r="T18" s="48"/>
      <c r="U18" s="49"/>
      <c r="V18" s="6"/>
      <c r="W18" s="190"/>
      <c r="X18" s="188"/>
      <c r="Y18" s="188"/>
      <c r="Z18" s="185"/>
      <c r="AA18" s="185"/>
      <c r="AB18" s="188"/>
      <c r="AC18" s="188"/>
      <c r="AD18" s="189"/>
      <c r="AF18" s="52"/>
      <c r="AG18" s="187"/>
    </row>
    <row r="19" spans="3:33" x14ac:dyDescent="0.25">
      <c r="C19" s="11" t="s">
        <v>199</v>
      </c>
      <c r="D19" s="50">
        <v>45811</v>
      </c>
      <c r="E19" s="10"/>
      <c r="F19" s="48">
        <v>0.32520974019269761</v>
      </c>
      <c r="G19" s="48">
        <v>21.032917968750002</v>
      </c>
      <c r="H19" s="48">
        <v>21.271074104309083</v>
      </c>
      <c r="I19" s="48">
        <v>14.629407382</v>
      </c>
      <c r="J19" s="48">
        <v>0.32509215291341143</v>
      </c>
      <c r="K19" s="48">
        <v>435.248024106</v>
      </c>
      <c r="L19" s="48">
        <f t="shared" si="10"/>
        <v>345.99212066071266</v>
      </c>
      <c r="M19" s="48">
        <v>93.52</v>
      </c>
      <c r="N19" s="48">
        <v>44.7</v>
      </c>
      <c r="O19" s="58">
        <f t="shared" si="0"/>
        <v>2.2350000000000002E-2</v>
      </c>
      <c r="P19" s="48">
        <v>1</v>
      </c>
      <c r="Q19" s="57">
        <f t="shared" si="11"/>
        <v>0.99954498834428607</v>
      </c>
      <c r="R19" s="57">
        <v>-7.7000000000000002E-3</v>
      </c>
      <c r="S19" s="57">
        <f t="shared" si="12"/>
        <v>1.0014624010675275</v>
      </c>
      <c r="T19" s="48">
        <f t="shared" si="13"/>
        <v>0.32541943098670306</v>
      </c>
      <c r="U19" s="49">
        <f t="shared" si="1"/>
        <v>6.4478632737509131E-2</v>
      </c>
      <c r="V19" s="6">
        <v>0.23</v>
      </c>
      <c r="W19" s="190">
        <f t="shared" ref="W19" si="23">AVERAGE(U19:U21)</f>
        <v>6.4112864113922863E-2</v>
      </c>
      <c r="X19" s="188">
        <f t="shared" ref="X19" si="24">STDEV(U19:U21)</f>
        <v>5.172749481662305E-4</v>
      </c>
      <c r="Y19" s="188">
        <f t="shared" ref="Y19" si="25">COUNT(V19:V21)</f>
        <v>2</v>
      </c>
      <c r="Z19" s="185">
        <f t="shared" ref="Z19" si="26">TINV(0.05,Y19-1)</f>
        <v>12.706204736174707</v>
      </c>
      <c r="AA19" s="185">
        <f t="shared" ref="AA19" si="27">X19*Z19/SQRT(Y19)</f>
        <v>4.6475310173558588E-3</v>
      </c>
      <c r="AB19" s="188">
        <f t="shared" ref="AB19" si="28">AVERAGE(V19:V21)</f>
        <v>0.23</v>
      </c>
      <c r="AC19" s="188">
        <f t="shared" ref="AC19" si="29">SQRT(AA19^2+AB19^2)</f>
        <v>0.23004695073953335</v>
      </c>
      <c r="AD19" s="189">
        <f t="shared" ref="AD19" si="30">AVERAGE(F19:F21)</f>
        <v>0.3252972004978032</v>
      </c>
      <c r="AF19" s="52">
        <f t="shared" si="8"/>
        <v>79.998575467127637</v>
      </c>
      <c r="AG19" s="187">
        <f t="shared" ref="AG19" si="31">AVERAGE(AF19:AF21)</f>
        <v>79.99380250141904</v>
      </c>
    </row>
    <row r="20" spans="3:33" x14ac:dyDescent="0.25">
      <c r="C20" s="11" t="s">
        <v>199</v>
      </c>
      <c r="D20" s="50">
        <v>45811</v>
      </c>
      <c r="E20" s="10"/>
      <c r="F20" s="48">
        <v>0.32538466080290884</v>
      </c>
      <c r="G20" s="48">
        <v>21.039774218750001</v>
      </c>
      <c r="H20" s="48">
        <v>21.231964874267579</v>
      </c>
      <c r="I20" s="48">
        <v>14.6389092093</v>
      </c>
      <c r="J20" s="48">
        <v>0.32526448364257815</v>
      </c>
      <c r="K20" s="48">
        <v>435.21384006400001</v>
      </c>
      <c r="L20" s="48">
        <f t="shared" si="10"/>
        <v>345.96914007946185</v>
      </c>
      <c r="M20" s="48">
        <v>93.52</v>
      </c>
      <c r="N20" s="48">
        <v>44.7</v>
      </c>
      <c r="O20" s="58">
        <f t="shared" si="0"/>
        <v>2.2350000000000002E-2</v>
      </c>
      <c r="P20" s="48">
        <v>1</v>
      </c>
      <c r="Q20" s="57">
        <f t="shared" si="11"/>
        <v>0.99954491689587011</v>
      </c>
      <c r="R20" s="57">
        <v>-7.7000000000000002E-3</v>
      </c>
      <c r="S20" s="57">
        <f t="shared" si="12"/>
        <v>1.0014629305442808</v>
      </c>
      <c r="T20" s="48">
        <f t="shared" si="13"/>
        <v>0.32559208407334178</v>
      </c>
      <c r="U20" s="49">
        <f t="shared" si="1"/>
        <v>6.3747095490336608E-2</v>
      </c>
      <c r="V20" s="6">
        <v>0.23</v>
      </c>
      <c r="W20" s="190"/>
      <c r="X20" s="188"/>
      <c r="Y20" s="188"/>
      <c r="Z20" s="185"/>
      <c r="AA20" s="185"/>
      <c r="AB20" s="188"/>
      <c r="AC20" s="188"/>
      <c r="AD20" s="189"/>
      <c r="AF20" s="52">
        <f t="shared" si="8"/>
        <v>79.989029535710443</v>
      </c>
      <c r="AG20" s="187"/>
    </row>
    <row r="21" spans="3:33" x14ac:dyDescent="0.25">
      <c r="C21" s="11" t="s">
        <v>199</v>
      </c>
      <c r="D21" s="50"/>
      <c r="E21" s="10"/>
      <c r="F21" s="48"/>
      <c r="G21" s="48"/>
      <c r="H21" s="48"/>
      <c r="I21" s="48"/>
      <c r="J21" s="48"/>
      <c r="K21" s="48"/>
      <c r="L21" s="48">
        <f t="shared" si="10"/>
        <v>333.25936670267623</v>
      </c>
      <c r="M21" s="48">
        <v>93.52</v>
      </c>
      <c r="N21" s="48">
        <v>44.7</v>
      </c>
      <c r="O21" s="58">
        <f t="shared" si="0"/>
        <v>2.2350000000000002E-2</v>
      </c>
      <c r="P21" s="48">
        <v>1</v>
      </c>
      <c r="Q21" s="57"/>
      <c r="R21" s="57">
        <v>-7.7000000000000002E-3</v>
      </c>
      <c r="S21" s="57">
        <f t="shared" si="12"/>
        <v>0.99984075625260982</v>
      </c>
      <c r="T21" s="48"/>
      <c r="U21" s="49"/>
      <c r="V21" s="6"/>
      <c r="W21" s="190"/>
      <c r="X21" s="188"/>
      <c r="Y21" s="188"/>
      <c r="Z21" s="185"/>
      <c r="AA21" s="185"/>
      <c r="AB21" s="188"/>
      <c r="AC21" s="188"/>
      <c r="AD21" s="189"/>
      <c r="AF21" s="52"/>
      <c r="AG21" s="187"/>
    </row>
    <row r="22" spans="3:33" x14ac:dyDescent="0.25">
      <c r="C22" s="11" t="s">
        <v>199</v>
      </c>
      <c r="D22" s="50">
        <v>45811</v>
      </c>
      <c r="E22" s="10"/>
      <c r="F22" s="48">
        <v>0.65109844883402135</v>
      </c>
      <c r="G22" s="48">
        <v>21.045249348958333</v>
      </c>
      <c r="H22" s="48">
        <v>21.169044282701279</v>
      </c>
      <c r="I22" s="48">
        <v>14.649556135799999</v>
      </c>
      <c r="J22" s="48">
        <v>0.65172222674334501</v>
      </c>
      <c r="K22" s="48">
        <v>435.16384562000002</v>
      </c>
      <c r="L22" s="48">
        <f t="shared" si="10"/>
        <v>345.93216473981414</v>
      </c>
      <c r="M22" s="48">
        <v>93.52</v>
      </c>
      <c r="N22" s="48">
        <v>44.7</v>
      </c>
      <c r="O22" s="58">
        <f t="shared" si="0"/>
        <v>2.2350000000000002E-2</v>
      </c>
      <c r="P22" s="48">
        <v>1</v>
      </c>
      <c r="Q22" s="57">
        <f t="shared" si="11"/>
        <v>0.99954481237166815</v>
      </c>
      <c r="R22" s="57">
        <v>-7.7000000000000002E-3</v>
      </c>
      <c r="S22" s="57">
        <f t="shared" si="12"/>
        <v>1.0014633533638868</v>
      </c>
      <c r="T22" s="48">
        <f t="shared" si="13"/>
        <v>0.65237883664904572</v>
      </c>
      <c r="U22" s="49">
        <f t="shared" si="1"/>
        <v>0.19665041704787917</v>
      </c>
      <c r="V22" s="6">
        <v>0.23</v>
      </c>
      <c r="W22" s="190">
        <f t="shared" ref="W22" si="32">AVERAGE(U22:U24)</f>
        <v>0.15898875910604013</v>
      </c>
      <c r="X22" s="188">
        <f t="shared" ref="X22" si="33">STDEV(U22:U24)</f>
        <v>5.3261627442805104E-2</v>
      </c>
      <c r="Y22" s="188">
        <f t="shared" ref="Y22" si="34">COUNT(V22:V24)</f>
        <v>2</v>
      </c>
      <c r="Z22" s="185">
        <f t="shared" ref="Z22" si="35">TINV(0.05,Y22-1)</f>
        <v>12.706204736174707</v>
      </c>
      <c r="AA22" s="185">
        <f t="shared" ref="AA22" si="36">X22*Z22/SQRT(Y22)</f>
        <v>0.4785367365127865</v>
      </c>
      <c r="AB22" s="188">
        <f t="shared" ref="AB22" si="37">AVERAGE(V22:V24)</f>
        <v>0.23</v>
      </c>
      <c r="AC22" s="188">
        <f t="shared" ref="AC22" si="38">SQRT(AA22^2+AB22^2)</f>
        <v>0.53094011733180235</v>
      </c>
      <c r="AD22" s="189">
        <f t="shared" ref="AD22" si="39">AVERAGE(F22:F24)</f>
        <v>0.6511508456422983</v>
      </c>
      <c r="AF22" s="52">
        <f t="shared" si="8"/>
        <v>160.15502411997946</v>
      </c>
      <c r="AG22" s="187">
        <f t="shared" ref="AG22" si="40">AVERAGE(AF22:AF24)</f>
        <v>160.110796557209</v>
      </c>
    </row>
    <row r="23" spans="3:33" x14ac:dyDescent="0.25">
      <c r="C23" s="11" t="s">
        <v>199</v>
      </c>
      <c r="D23" s="50">
        <v>45811</v>
      </c>
      <c r="E23" s="10"/>
      <c r="F23" s="48">
        <v>0.65120324245057515</v>
      </c>
      <c r="G23" s="48">
        <v>21.04922786458333</v>
      </c>
      <c r="H23" s="48">
        <v>21.181810590955948</v>
      </c>
      <c r="I23" s="48">
        <v>14.648985358099999</v>
      </c>
      <c r="J23" s="48">
        <v>0.65133689597800926</v>
      </c>
      <c r="K23" s="48">
        <v>435.17174662500003</v>
      </c>
      <c r="L23" s="48">
        <f t="shared" si="10"/>
        <v>345.9396671914007</v>
      </c>
      <c r="M23" s="48">
        <v>93.52</v>
      </c>
      <c r="N23" s="48">
        <v>44.7</v>
      </c>
      <c r="O23" s="58">
        <f t="shared" si="0"/>
        <v>2.2350000000000002E-2</v>
      </c>
      <c r="P23" s="48">
        <v>1</v>
      </c>
      <c r="Q23" s="57">
        <f t="shared" si="11"/>
        <v>0.99954482889282392</v>
      </c>
      <c r="R23" s="57">
        <v>-7.7000000000000002E-3</v>
      </c>
      <c r="S23" s="57">
        <f t="shared" si="12"/>
        <v>1.0014636606069243</v>
      </c>
      <c r="T23" s="48">
        <f t="shared" si="13"/>
        <v>0.65199332846732772</v>
      </c>
      <c r="U23" s="49">
        <f t="shared" si="1"/>
        <v>0.12132710116420109</v>
      </c>
      <c r="V23" s="6">
        <v>0.23</v>
      </c>
      <c r="W23" s="190"/>
      <c r="X23" s="188"/>
      <c r="Y23" s="188"/>
      <c r="Z23" s="185"/>
      <c r="AA23" s="185"/>
      <c r="AB23" s="188"/>
      <c r="AC23" s="188"/>
      <c r="AD23" s="189"/>
      <c r="AF23" s="52">
        <f t="shared" si="8"/>
        <v>160.06656899443854</v>
      </c>
      <c r="AG23" s="187"/>
    </row>
    <row r="24" spans="3:33" x14ac:dyDescent="0.25">
      <c r="C24" s="11" t="s">
        <v>199</v>
      </c>
      <c r="D24" s="50"/>
      <c r="E24" s="10"/>
      <c r="F24" s="48"/>
      <c r="G24" s="48"/>
      <c r="H24" s="48"/>
      <c r="I24" s="48"/>
      <c r="J24" s="48"/>
      <c r="K24" s="48"/>
      <c r="L24" s="48">
        <f t="shared" si="10"/>
        <v>333.25936670267623</v>
      </c>
      <c r="M24" s="48">
        <v>93.52</v>
      </c>
      <c r="N24" s="48">
        <v>44.7</v>
      </c>
      <c r="O24" s="58">
        <f t="shared" si="0"/>
        <v>2.2350000000000002E-2</v>
      </c>
      <c r="P24" s="48">
        <v>1</v>
      </c>
      <c r="Q24" s="57"/>
      <c r="R24" s="57">
        <v>-7.7000000000000002E-3</v>
      </c>
      <c r="S24" s="57">
        <f t="shared" si="12"/>
        <v>0.99984075625260982</v>
      </c>
      <c r="T24" s="48"/>
      <c r="U24" s="49"/>
      <c r="V24" s="6"/>
      <c r="W24" s="190"/>
      <c r="X24" s="188"/>
      <c r="Y24" s="188"/>
      <c r="Z24" s="185"/>
      <c r="AA24" s="185"/>
      <c r="AB24" s="188"/>
      <c r="AC24" s="188"/>
      <c r="AD24" s="189"/>
      <c r="AF24" s="52"/>
      <c r="AG24" s="187"/>
    </row>
    <row r="25" spans="3:33" x14ac:dyDescent="0.25">
      <c r="C25" s="11" t="s">
        <v>199</v>
      </c>
      <c r="D25" s="50">
        <v>45811</v>
      </c>
      <c r="E25" s="10"/>
      <c r="F25" s="48">
        <v>1.1398179443500005</v>
      </c>
      <c r="G25" s="48">
        <v>21.051290364583334</v>
      </c>
      <c r="H25" s="48">
        <v>21.154941982693142</v>
      </c>
      <c r="I25" s="48">
        <v>14.650697839699999</v>
      </c>
      <c r="J25" s="48">
        <v>1.1407946144386574</v>
      </c>
      <c r="K25" s="48">
        <v>435.148042648</v>
      </c>
      <c r="L25" s="48">
        <f t="shared" si="10"/>
        <v>345.92387696893519</v>
      </c>
      <c r="M25" s="48">
        <v>93.52</v>
      </c>
      <c r="N25" s="48">
        <v>44.7</v>
      </c>
      <c r="O25" s="58">
        <f t="shared" si="0"/>
        <v>2.2350000000000002E-2</v>
      </c>
      <c r="P25" s="48">
        <v>1</v>
      </c>
      <c r="Q25" s="57">
        <f t="shared" si="11"/>
        <v>0.99954477932464691</v>
      </c>
      <c r="R25" s="57">
        <v>-7.7000000000000002E-3</v>
      </c>
      <c r="S25" s="57">
        <f t="shared" si="12"/>
        <v>1.001463819884685</v>
      </c>
      <c r="T25" s="48">
        <f t="shared" si="13"/>
        <v>1.1419444588036631</v>
      </c>
      <c r="U25" s="49">
        <f t="shared" si="1"/>
        <v>0.18656614981397845</v>
      </c>
      <c r="V25" s="6">
        <v>0.23</v>
      </c>
      <c r="W25" s="190">
        <f>AVERAGE(U25:U27)</f>
        <v>0.15670270137147332</v>
      </c>
      <c r="X25" s="188">
        <f t="shared" ref="X25" si="41">STDEV(U25:U27)</f>
        <v>4.2233293806620442E-2</v>
      </c>
      <c r="Y25" s="188">
        <f t="shared" ref="Y25" si="42">COUNT(V25:V27)</f>
        <v>2</v>
      </c>
      <c r="Z25" s="185">
        <f t="shared" ref="Z25" si="43">TINV(0.05,Y25-1)</f>
        <v>12.706204736174707</v>
      </c>
      <c r="AA25" s="185">
        <f t="shared" ref="AA25" si="44">X25*Z25/SQRT(Y25)</f>
        <v>0.37945109003866789</v>
      </c>
      <c r="AB25" s="188">
        <f t="shared" ref="AB25" si="45">AVERAGE(V25:V27)</f>
        <v>0.23</v>
      </c>
      <c r="AC25" s="188">
        <f t="shared" ref="AC25" si="46">SQRT(AA25^2+AB25^2)</f>
        <v>0.44371514480749158</v>
      </c>
      <c r="AD25" s="189">
        <f t="shared" ref="AD25" si="47">AVERAGE(F25:F27)</f>
        <v>1.1399090754601251</v>
      </c>
      <c r="AF25" s="52">
        <f t="shared" si="8"/>
        <v>280.31842966896261</v>
      </c>
      <c r="AG25" s="187">
        <f t="shared" ref="AG25" si="48">AVERAGE(AF25:AF27)</f>
        <v>280.20997008227982</v>
      </c>
    </row>
    <row r="26" spans="3:33" x14ac:dyDescent="0.25">
      <c r="C26" s="11" t="s">
        <v>199</v>
      </c>
      <c r="D26" s="50">
        <v>45811</v>
      </c>
      <c r="E26" s="10"/>
      <c r="F26" s="48">
        <v>1.1400002065702497</v>
      </c>
      <c r="G26" s="48">
        <v>21.056592013888888</v>
      </c>
      <c r="H26" s="48">
        <v>21.185369279649521</v>
      </c>
      <c r="I26" s="48">
        <v>14.6556391624</v>
      </c>
      <c r="J26" s="48">
        <v>1.1402962962962964</v>
      </c>
      <c r="K26" s="48">
        <v>435.177052506</v>
      </c>
      <c r="L26" s="48">
        <f t="shared" si="10"/>
        <v>345.94175851795262</v>
      </c>
      <c r="M26" s="48">
        <v>93.52</v>
      </c>
      <c r="N26" s="48">
        <v>44.7</v>
      </c>
      <c r="O26" s="58">
        <f t="shared" si="0"/>
        <v>2.2350000000000002E-2</v>
      </c>
      <c r="P26" s="48">
        <v>1</v>
      </c>
      <c r="Q26" s="57">
        <f t="shared" si="11"/>
        <v>0.99954483998702004</v>
      </c>
      <c r="R26" s="57">
        <v>-7.7000000000000002E-3</v>
      </c>
      <c r="S26" s="57">
        <f t="shared" si="12"/>
        <v>1.0014642293078653</v>
      </c>
      <c r="T26" s="48">
        <f t="shared" si="13"/>
        <v>1.1414461743156521</v>
      </c>
      <c r="U26" s="49">
        <f t="shared" si="1"/>
        <v>0.12683925292896819</v>
      </c>
      <c r="V26" s="6">
        <v>0.23</v>
      </c>
      <c r="W26" s="190"/>
      <c r="X26" s="188"/>
      <c r="Y26" s="188"/>
      <c r="Z26" s="185"/>
      <c r="AA26" s="185"/>
      <c r="AB26" s="188"/>
      <c r="AC26" s="188"/>
      <c r="AD26" s="189"/>
      <c r="AF26" s="52">
        <f t="shared" si="8"/>
        <v>280.10151049559704</v>
      </c>
      <c r="AG26" s="187"/>
    </row>
    <row r="27" spans="3:33" x14ac:dyDescent="0.25">
      <c r="C27" s="11" t="s">
        <v>199</v>
      </c>
      <c r="D27" s="50"/>
      <c r="E27" s="10"/>
      <c r="F27" s="48"/>
      <c r="G27" s="48"/>
      <c r="H27" s="48"/>
      <c r="I27" s="48"/>
      <c r="J27" s="48"/>
      <c r="K27" s="48"/>
      <c r="L27" s="48"/>
      <c r="M27" s="48">
        <v>93.52</v>
      </c>
      <c r="N27" s="48">
        <v>44.7</v>
      </c>
      <c r="O27" s="58">
        <f t="shared" si="0"/>
        <v>2.2350000000000002E-2</v>
      </c>
      <c r="P27" s="48">
        <v>1</v>
      </c>
      <c r="Q27" s="57"/>
      <c r="R27" s="57">
        <v>-7.7000000000000002E-3</v>
      </c>
      <c r="S27" s="57">
        <f t="shared" si="12"/>
        <v>0.99984075625260982</v>
      </c>
      <c r="T27" s="48"/>
      <c r="U27" s="49"/>
      <c r="V27" s="6"/>
      <c r="W27" s="190"/>
      <c r="X27" s="188"/>
      <c r="Y27" s="188"/>
      <c r="Z27" s="185"/>
      <c r="AA27" s="185"/>
      <c r="AB27" s="188"/>
      <c r="AC27" s="188"/>
      <c r="AD27" s="189"/>
      <c r="AF27" s="52"/>
      <c r="AG27" s="187"/>
    </row>
  </sheetData>
  <mergeCells count="46">
    <mergeCell ref="C2:AD3"/>
    <mergeCell ref="W13:W15"/>
    <mergeCell ref="X13:X15"/>
    <mergeCell ref="Y13:Y15"/>
    <mergeCell ref="Z13:Z15"/>
    <mergeCell ref="AA13:AA15"/>
    <mergeCell ref="AB13:AB15"/>
    <mergeCell ref="AC13:AC15"/>
    <mergeCell ref="AD13:AD15"/>
    <mergeCell ref="AG13:AG15"/>
    <mergeCell ref="W16:W18"/>
    <mergeCell ref="X16:X18"/>
    <mergeCell ref="Y16:Y18"/>
    <mergeCell ref="Z16:Z18"/>
    <mergeCell ref="AA16:AA18"/>
    <mergeCell ref="AB16:AB18"/>
    <mergeCell ref="AC16:AC18"/>
    <mergeCell ref="AD16:AD18"/>
    <mergeCell ref="AG16:AG18"/>
    <mergeCell ref="AC19:AC21"/>
    <mergeCell ref="AD19:AD21"/>
    <mergeCell ref="AG19:AG21"/>
    <mergeCell ref="W22:W24"/>
    <mergeCell ref="X22:X24"/>
    <mergeCell ref="Y22:Y24"/>
    <mergeCell ref="Z22:Z24"/>
    <mergeCell ref="AA22:AA24"/>
    <mergeCell ref="AB22:AB24"/>
    <mergeCell ref="AC22:AC24"/>
    <mergeCell ref="W19:W21"/>
    <mergeCell ref="X19:X21"/>
    <mergeCell ref="Y19:Y21"/>
    <mergeCell ref="Z19:Z21"/>
    <mergeCell ref="AA19:AA21"/>
    <mergeCell ref="AB19:AB21"/>
    <mergeCell ref="AG25:AG27"/>
    <mergeCell ref="AD22:AD24"/>
    <mergeCell ref="AG22:AG24"/>
    <mergeCell ref="W25:W27"/>
    <mergeCell ref="X25:X27"/>
    <mergeCell ref="Y25:Y27"/>
    <mergeCell ref="Z25:Z27"/>
    <mergeCell ref="AA25:AA27"/>
    <mergeCell ref="AB25:AB27"/>
    <mergeCell ref="AC25:AC27"/>
    <mergeCell ref="AD25:AD27"/>
  </mergeCells>
  <conditionalFormatting sqref="F13:F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CF6B-7806-426E-808C-C26E93482485}">
  <dimension ref="C2:AG27"/>
  <sheetViews>
    <sheetView workbookViewId="0">
      <selection activeCell="K7" sqref="K7"/>
    </sheetView>
  </sheetViews>
  <sheetFormatPr defaultRowHeight="15" x14ac:dyDescent="0.25"/>
  <cols>
    <col min="3" max="3" width="16.28515625" customWidth="1"/>
    <col min="4" max="4" width="20.5703125" customWidth="1"/>
    <col min="7" max="7" width="9" bestFit="1" customWidth="1"/>
  </cols>
  <sheetData>
    <row r="2" spans="3:33" ht="26.25" customHeight="1" x14ac:dyDescent="0.25">
      <c r="C2" s="192" t="s">
        <v>12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28"/>
      <c r="AF2" s="28"/>
      <c r="AG2" s="28"/>
    </row>
    <row r="3" spans="3:33" ht="26.25" customHeight="1" x14ac:dyDescent="0.25"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28"/>
      <c r="AF3" s="28"/>
      <c r="AG3" s="28"/>
    </row>
    <row r="4" spans="3:33" x14ac:dyDescent="0.25">
      <c r="AB4" s="7"/>
      <c r="AC4" s="7"/>
      <c r="AD4" s="7"/>
      <c r="AE4" s="7"/>
      <c r="AF4" s="7"/>
      <c r="AG4" s="7"/>
    </row>
    <row r="5" spans="3:33" x14ac:dyDescent="0.25">
      <c r="C5" t="s">
        <v>194</v>
      </c>
      <c r="D5" s="168"/>
      <c r="E5" s="168"/>
      <c r="F5">
        <v>1.4</v>
      </c>
      <c r="G5" s="34" t="s">
        <v>195</v>
      </c>
      <c r="AB5" s="7"/>
      <c r="AC5" s="7"/>
      <c r="AD5" s="7"/>
      <c r="AE5" s="7"/>
      <c r="AF5" s="7"/>
      <c r="AG5" s="7"/>
    </row>
    <row r="6" spans="3:33" x14ac:dyDescent="0.25">
      <c r="C6" t="s">
        <v>196</v>
      </c>
      <c r="D6" s="34"/>
      <c r="E6" s="34"/>
      <c r="F6">
        <v>28.013480000000001</v>
      </c>
      <c r="G6" s="34" t="s">
        <v>197</v>
      </c>
      <c r="AB6" s="7"/>
      <c r="AC6" s="7"/>
      <c r="AD6" s="7"/>
      <c r="AE6" s="7"/>
      <c r="AF6" s="7"/>
      <c r="AG6" s="7"/>
    </row>
    <row r="7" spans="3:33" x14ac:dyDescent="0.25">
      <c r="D7" s="169"/>
      <c r="E7" s="169"/>
      <c r="F7" s="169" t="s">
        <v>199</v>
      </c>
      <c r="AB7" s="7"/>
      <c r="AC7" s="7"/>
      <c r="AD7" s="7"/>
      <c r="AE7" s="7"/>
      <c r="AF7" s="7"/>
      <c r="AG7" s="7"/>
    </row>
    <row r="8" spans="3:33" x14ac:dyDescent="0.25">
      <c r="AB8" s="7"/>
      <c r="AC8" s="7"/>
      <c r="AD8" s="7"/>
      <c r="AE8" s="7"/>
      <c r="AF8" s="7"/>
      <c r="AG8" s="7"/>
    </row>
    <row r="9" spans="3:33" x14ac:dyDescent="0.25">
      <c r="C9" s="7" t="s">
        <v>54</v>
      </c>
      <c r="D9" s="56"/>
      <c r="AB9" s="7"/>
      <c r="AC9" s="7">
        <f>AVERAGE(AC13:AC27,AC37:AC54)</f>
        <v>0.25217620313655187</v>
      </c>
      <c r="AD9" s="7"/>
      <c r="AE9" s="7"/>
      <c r="AF9" s="7"/>
      <c r="AG9" s="7"/>
    </row>
    <row r="10" spans="3:33" ht="21" x14ac:dyDescent="0.35">
      <c r="C10" s="1" t="s">
        <v>35</v>
      </c>
      <c r="E10" s="3"/>
      <c r="F10" s="1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</row>
    <row r="11" spans="3:33" ht="60" x14ac:dyDescent="0.25">
      <c r="C11" s="14" t="s">
        <v>44</v>
      </c>
      <c r="D11" s="14" t="s">
        <v>0</v>
      </c>
      <c r="E11" s="8" t="s">
        <v>1</v>
      </c>
      <c r="F11" s="15" t="s">
        <v>36</v>
      </c>
      <c r="G11" s="15" t="s">
        <v>2</v>
      </c>
      <c r="H11" s="15" t="s">
        <v>3</v>
      </c>
      <c r="I11" s="15" t="s">
        <v>4</v>
      </c>
      <c r="J11" s="15" t="s">
        <v>37</v>
      </c>
      <c r="K11" s="15" t="s">
        <v>93</v>
      </c>
      <c r="L11" s="15" t="s">
        <v>198</v>
      </c>
      <c r="M11" s="15" t="s">
        <v>94</v>
      </c>
      <c r="N11" s="15" t="s">
        <v>95</v>
      </c>
      <c r="O11" s="15" t="s">
        <v>96</v>
      </c>
      <c r="P11" s="15" t="s">
        <v>97</v>
      </c>
      <c r="Q11" s="15" t="s">
        <v>98</v>
      </c>
      <c r="R11" s="15" t="s">
        <v>105</v>
      </c>
      <c r="S11" s="15" t="s">
        <v>99</v>
      </c>
      <c r="T11" s="15" t="s">
        <v>103</v>
      </c>
      <c r="U11" s="15" t="s">
        <v>5</v>
      </c>
      <c r="V11" s="4" t="s">
        <v>51</v>
      </c>
      <c r="W11" s="35" t="s">
        <v>20</v>
      </c>
      <c r="X11" s="35" t="s">
        <v>21</v>
      </c>
      <c r="Y11" s="35" t="s">
        <v>42</v>
      </c>
      <c r="Z11" s="35" t="s">
        <v>43</v>
      </c>
      <c r="AA11" s="35" t="s">
        <v>22</v>
      </c>
      <c r="AB11" s="35" t="s">
        <v>52</v>
      </c>
      <c r="AC11" s="35" t="s">
        <v>23</v>
      </c>
      <c r="AD11" s="35" t="s">
        <v>39</v>
      </c>
      <c r="AF11" s="35" t="s">
        <v>48</v>
      </c>
      <c r="AG11" s="35" t="s">
        <v>46</v>
      </c>
    </row>
    <row r="12" spans="3:33" x14ac:dyDescent="0.25">
      <c r="C12" s="51" t="s">
        <v>7</v>
      </c>
      <c r="D12" s="16" t="s">
        <v>7</v>
      </c>
      <c r="E12" s="17" t="s">
        <v>7</v>
      </c>
      <c r="F12" s="18" t="s">
        <v>38</v>
      </c>
      <c r="G12" s="18" t="s">
        <v>41</v>
      </c>
      <c r="H12" s="18" t="s">
        <v>9</v>
      </c>
      <c r="I12" s="18" t="s">
        <v>11</v>
      </c>
      <c r="J12" s="18" t="s">
        <v>38</v>
      </c>
      <c r="K12" s="18" t="s">
        <v>100</v>
      </c>
      <c r="L12" s="18" t="s">
        <v>100</v>
      </c>
      <c r="M12" s="18" t="s">
        <v>101</v>
      </c>
      <c r="N12" s="18" t="s">
        <v>102</v>
      </c>
      <c r="O12" s="18" t="s">
        <v>104</v>
      </c>
      <c r="P12" s="18" t="s">
        <v>7</v>
      </c>
      <c r="Q12" s="18" t="s">
        <v>7</v>
      </c>
      <c r="R12" s="18"/>
      <c r="S12" s="18" t="s">
        <v>7</v>
      </c>
      <c r="T12" s="18" t="s">
        <v>38</v>
      </c>
      <c r="U12" s="18" t="s">
        <v>10</v>
      </c>
      <c r="V12" s="5" t="s">
        <v>10</v>
      </c>
      <c r="W12" s="36" t="s">
        <v>10</v>
      </c>
      <c r="X12" s="37"/>
      <c r="Y12" s="37"/>
      <c r="Z12" s="37"/>
      <c r="AA12" s="38" t="s">
        <v>10</v>
      </c>
      <c r="AB12" s="23" t="s">
        <v>10</v>
      </c>
      <c r="AC12" s="23" t="s">
        <v>10</v>
      </c>
      <c r="AD12" s="23" t="s">
        <v>38</v>
      </c>
      <c r="AF12" s="23" t="s">
        <v>47</v>
      </c>
      <c r="AG12" s="23" t="s">
        <v>47</v>
      </c>
    </row>
    <row r="13" spans="3:33" x14ac:dyDescent="0.25">
      <c r="C13" s="11" t="s">
        <v>199</v>
      </c>
      <c r="D13" s="50">
        <v>45811</v>
      </c>
      <c r="E13" s="10"/>
      <c r="F13" s="48">
        <v>0.12201958336591788</v>
      </c>
      <c r="G13" s="48">
        <v>31.013341064453126</v>
      </c>
      <c r="H13" s="48">
        <v>21.352701425552368</v>
      </c>
      <c r="I13" s="48">
        <v>21.957454226300001</v>
      </c>
      <c r="J13" s="48">
        <v>0.12091885884602863</v>
      </c>
      <c r="K13" s="48">
        <v>432.95845192000002</v>
      </c>
      <c r="L13" s="48">
        <f>SQRT(($F$5)*8.314*(H13+273.15)/($F$6/1000))</f>
        <v>349.8083225999606</v>
      </c>
      <c r="M13" s="48">
        <v>93.52</v>
      </c>
      <c r="N13" s="48">
        <v>44.7</v>
      </c>
      <c r="O13" s="58">
        <f t="shared" ref="O13:O27" si="0">N13/2/1000</f>
        <v>2.2350000000000002E-2</v>
      </c>
      <c r="P13" s="48">
        <v>1</v>
      </c>
      <c r="Q13" s="57">
        <f>1/(1+P13*0.5*(2*PI()*M13/K13*O13)^2)</f>
        <v>0.99954016545058799</v>
      </c>
      <c r="R13" s="57">
        <v>-7.7000000000000002E-3</v>
      </c>
      <c r="S13" s="57">
        <f>1/(1+R13/100*((G13)-2.06843))</f>
        <v>1.0022337366106433</v>
      </c>
      <c r="T13" s="48">
        <f>J13*S13*Q13</f>
        <v>0.12113323285726001</v>
      </c>
      <c r="U13" s="49">
        <f t="shared" ref="U13:U27" si="1">(T13-F13)/F13*100</f>
        <v>-0.72640020905484126</v>
      </c>
      <c r="V13" s="6">
        <v>0.23</v>
      </c>
      <c r="W13" s="190">
        <f t="shared" ref="W13" si="2">AVERAGE(U13:U15)</f>
        <v>-0.69898947354412921</v>
      </c>
      <c r="X13" s="188">
        <f t="shared" ref="X13" si="3">STDEV(U13:U15)</f>
        <v>2.8860411509781709E-2</v>
      </c>
      <c r="Y13" s="188">
        <f t="shared" ref="Y13" si="4">COUNT(V13:V15)</f>
        <v>3</v>
      </c>
      <c r="Z13" s="185">
        <f t="shared" ref="Z13" si="5">TINV(0.05,Y13-1)</f>
        <v>4.3026527297494637</v>
      </c>
      <c r="AA13" s="185">
        <f>X13*Z13/SQRT(Y13)</f>
        <v>7.169323660808205E-2</v>
      </c>
      <c r="AB13" s="188">
        <f t="shared" ref="AB13" si="6">AVERAGE(V13:V15)</f>
        <v>0.23</v>
      </c>
      <c r="AC13" s="188">
        <f t="shared" ref="AC13" si="7">SQRT(AA13^2+AB13^2)</f>
        <v>0.24091475707258456</v>
      </c>
      <c r="AD13" s="189">
        <f t="shared" ref="AD13" si="8">AVERAGE(F13:F15)</f>
        <v>0.1219832441871727</v>
      </c>
      <c r="AF13" s="52">
        <f t="shared" ref="AF13:AF27" si="9">J13/I13*3600</f>
        <v>19.825062020364086</v>
      </c>
      <c r="AG13" s="187">
        <f t="shared" ref="AG13" si="10">AVERAGE(AF13:AF15)</f>
        <v>19.830515964115939</v>
      </c>
    </row>
    <row r="14" spans="3:33" x14ac:dyDescent="0.25">
      <c r="C14" s="11" t="s">
        <v>199</v>
      </c>
      <c r="D14" s="50">
        <v>45811</v>
      </c>
      <c r="E14" s="10"/>
      <c r="F14" s="48">
        <v>0.1219902410044815</v>
      </c>
      <c r="G14" s="48">
        <v>31.002891845703125</v>
      </c>
      <c r="H14" s="48">
        <v>21.365063905715942</v>
      </c>
      <c r="I14" s="48">
        <v>21.9481560539</v>
      </c>
      <c r="J14" s="48">
        <v>0.12091995493570964</v>
      </c>
      <c r="K14" s="48">
        <v>432.97733522800002</v>
      </c>
      <c r="L14" s="48">
        <f t="shared" ref="L14:L27" si="11">SQRT(($F$5)*8.314*(H14+273.15)/($F$6/1000))</f>
        <v>349.8156645581945</v>
      </c>
      <c r="M14" s="48">
        <v>93.52</v>
      </c>
      <c r="N14" s="48">
        <v>44.7</v>
      </c>
      <c r="O14" s="58">
        <f t="shared" si="0"/>
        <v>2.2350000000000002E-2</v>
      </c>
      <c r="P14" s="48">
        <v>1</v>
      </c>
      <c r="Q14" s="57">
        <f t="shared" ref="Q14:Q27" si="12">1/(1+P14*0.5*(2*PI()*M14/K14*O14)^2)</f>
        <v>0.99954020554051859</v>
      </c>
      <c r="R14" s="57">
        <v>-7.7000000000000002E-3</v>
      </c>
      <c r="S14" s="57">
        <f t="shared" ref="S14:S27" si="13">1/(1+R14/100*((G14)-2.06843))</f>
        <v>1.002232928422953</v>
      </c>
      <c r="T14" s="48">
        <f t="shared" ref="T14:T27" si="14">J14*S14*Q14</f>
        <v>0.12113423806758673</v>
      </c>
      <c r="U14" s="49">
        <f t="shared" si="1"/>
        <v>-0.70169788160621638</v>
      </c>
      <c r="V14" s="6">
        <v>0.23</v>
      </c>
      <c r="W14" s="190"/>
      <c r="X14" s="188"/>
      <c r="Y14" s="188"/>
      <c r="Z14" s="185"/>
      <c r="AA14" s="185"/>
      <c r="AB14" s="188"/>
      <c r="AC14" s="188"/>
      <c r="AD14" s="189"/>
      <c r="AF14" s="52">
        <f t="shared" si="9"/>
        <v>19.833640543630249</v>
      </c>
      <c r="AG14" s="187"/>
    </row>
    <row r="15" spans="3:33" x14ac:dyDescent="0.25">
      <c r="C15" s="11" t="s">
        <v>199</v>
      </c>
      <c r="D15" s="50">
        <v>45811</v>
      </c>
      <c r="E15" s="10"/>
      <c r="F15" s="48">
        <v>0.1219399081911187</v>
      </c>
      <c r="G15" s="48">
        <v>30.995581054687502</v>
      </c>
      <c r="H15" s="48">
        <v>21.381940603256226</v>
      </c>
      <c r="I15" s="48">
        <v>21.947245222700001</v>
      </c>
      <c r="J15" s="48">
        <v>0.12091008885701497</v>
      </c>
      <c r="K15" s="48">
        <v>432.98571846700003</v>
      </c>
      <c r="L15" s="48">
        <f t="shared" si="11"/>
        <v>349.82568721800999</v>
      </c>
      <c r="M15" s="48">
        <v>93.52</v>
      </c>
      <c r="N15" s="48">
        <v>44.7</v>
      </c>
      <c r="O15" s="58">
        <f t="shared" si="0"/>
        <v>2.2350000000000002E-2</v>
      </c>
      <c r="P15" s="48">
        <v>1</v>
      </c>
      <c r="Q15" s="57">
        <f t="shared" si="12"/>
        <v>0.9995402233367513</v>
      </c>
      <c r="R15" s="57">
        <v>-7.7000000000000002E-3</v>
      </c>
      <c r="S15" s="57">
        <f t="shared" si="13"/>
        <v>1.0022323629755883</v>
      </c>
      <c r="T15" s="48">
        <f t="shared" si="14"/>
        <v>0.12112428832483403</v>
      </c>
      <c r="U15" s="49">
        <f t="shared" si="1"/>
        <v>-0.66887032997133</v>
      </c>
      <c r="V15" s="6">
        <v>0.23</v>
      </c>
      <c r="W15" s="190"/>
      <c r="X15" s="188"/>
      <c r="Y15" s="188"/>
      <c r="Z15" s="185"/>
      <c r="AA15" s="185"/>
      <c r="AB15" s="188"/>
      <c r="AC15" s="188"/>
      <c r="AD15" s="189"/>
      <c r="AF15" s="52">
        <f t="shared" si="9"/>
        <v>19.832845328353478</v>
      </c>
      <c r="AG15" s="187"/>
    </row>
    <row r="16" spans="3:33" x14ac:dyDescent="0.25">
      <c r="C16" s="11" t="s">
        <v>199</v>
      </c>
      <c r="D16" s="50">
        <v>45811</v>
      </c>
      <c r="E16" s="10"/>
      <c r="F16" s="48">
        <v>0.24409147072360227</v>
      </c>
      <c r="G16" s="48">
        <v>31.013186035156252</v>
      </c>
      <c r="H16" s="48">
        <v>21.316898345947266</v>
      </c>
      <c r="I16" s="48">
        <v>21.9601888784</v>
      </c>
      <c r="J16" s="48">
        <v>0.24271296183268229</v>
      </c>
      <c r="K16" s="48">
        <v>432.933296095</v>
      </c>
      <c r="L16" s="48">
        <f t="shared" si="11"/>
        <v>349.78705862542085</v>
      </c>
      <c r="M16" s="48">
        <v>93.52</v>
      </c>
      <c r="N16" s="48">
        <v>44.7</v>
      </c>
      <c r="O16" s="58">
        <f t="shared" si="0"/>
        <v>2.2350000000000002E-2</v>
      </c>
      <c r="P16" s="48">
        <v>1</v>
      </c>
      <c r="Q16" s="57">
        <f t="shared" si="12"/>
        <v>0.99954011203573756</v>
      </c>
      <c r="R16" s="57">
        <v>-7.7000000000000002E-3</v>
      </c>
      <c r="S16" s="57">
        <f t="shared" si="13"/>
        <v>1.0022337246199986</v>
      </c>
      <c r="T16" s="48">
        <f t="shared" si="14"/>
        <v>0.24314324565114154</v>
      </c>
      <c r="U16" s="49">
        <f t="shared" si="1"/>
        <v>-0.38847120288543568</v>
      </c>
      <c r="V16" s="6">
        <v>0.23</v>
      </c>
      <c r="W16" s="190">
        <f t="shared" ref="W16" si="15">AVERAGE(U16:U18)</f>
        <v>-0.31998112308420185</v>
      </c>
      <c r="X16" s="188">
        <f t="shared" ref="X16" si="16">STDEV(U16:U18)</f>
        <v>6.5383529530306184E-2</v>
      </c>
      <c r="Y16" s="188">
        <f t="shared" ref="Y16" si="17">COUNT(V16:V18)</f>
        <v>3</v>
      </c>
      <c r="Z16" s="185">
        <f t="shared" ref="Z16" si="18">TINV(0.05,Y16-1)</f>
        <v>4.3026527297494637</v>
      </c>
      <c r="AA16" s="185">
        <f t="shared" ref="AA16" si="19">X16*Z16/SQRT(Y16)</f>
        <v>0.16242169143357502</v>
      </c>
      <c r="AB16" s="188">
        <f t="shared" ref="AB16" si="20">AVERAGE(V16:V18)</f>
        <v>0.23</v>
      </c>
      <c r="AC16" s="188">
        <f t="shared" ref="AC16" si="21">SQRT(AA16^2+AB16^2)</f>
        <v>0.28156847452821038</v>
      </c>
      <c r="AD16" s="189">
        <f t="shared" ref="AD16" si="22">AVERAGE(F16:F18)</f>
        <v>0.24404153431820907</v>
      </c>
      <c r="AF16" s="52">
        <f t="shared" si="9"/>
        <v>39.788667913375342</v>
      </c>
      <c r="AG16" s="187">
        <f t="shared" ref="AG16" si="23">AVERAGE(AF16:AF18)</f>
        <v>39.812964321325957</v>
      </c>
    </row>
    <row r="17" spans="3:33" x14ac:dyDescent="0.25">
      <c r="C17" s="11" t="s">
        <v>199</v>
      </c>
      <c r="D17" s="50">
        <v>45811</v>
      </c>
      <c r="E17" s="10"/>
      <c r="F17" s="48">
        <v>0.24405162324822827</v>
      </c>
      <c r="G17" s="48">
        <v>31.008170898437498</v>
      </c>
      <c r="H17" s="48">
        <v>21.319089651107788</v>
      </c>
      <c r="I17" s="48">
        <v>21.9601888784</v>
      </c>
      <c r="J17" s="48">
        <v>0.24299073791503906</v>
      </c>
      <c r="K17" s="48">
        <v>432.933296095</v>
      </c>
      <c r="L17" s="48">
        <f t="shared" si="11"/>
        <v>349.7883601108594</v>
      </c>
      <c r="M17" s="48">
        <v>93.52</v>
      </c>
      <c r="N17" s="48">
        <v>44.7</v>
      </c>
      <c r="O17" s="58">
        <f t="shared" si="0"/>
        <v>2.2350000000000002E-2</v>
      </c>
      <c r="P17" s="48">
        <v>1</v>
      </c>
      <c r="Q17" s="57">
        <f t="shared" si="12"/>
        <v>0.99954011203573756</v>
      </c>
      <c r="R17" s="57">
        <v>-7.7000000000000002E-3</v>
      </c>
      <c r="S17" s="57">
        <f t="shared" si="13"/>
        <v>1.0022333367275196</v>
      </c>
      <c r="T17" s="48">
        <f t="shared" si="14"/>
        <v>0.24342141996661285</v>
      </c>
      <c r="U17" s="49">
        <f t="shared" si="1"/>
        <v>-0.25822540052291837</v>
      </c>
      <c r="V17" s="6">
        <v>0.23</v>
      </c>
      <c r="W17" s="190"/>
      <c r="X17" s="188"/>
      <c r="Y17" s="188"/>
      <c r="Z17" s="185"/>
      <c r="AA17" s="185"/>
      <c r="AB17" s="188"/>
      <c r="AC17" s="188"/>
      <c r="AD17" s="189"/>
      <c r="AF17" s="52">
        <f t="shared" si="9"/>
        <v>39.834204584394961</v>
      </c>
      <c r="AG17" s="187"/>
    </row>
    <row r="18" spans="3:33" x14ac:dyDescent="0.25">
      <c r="C18" s="11" t="s">
        <v>199</v>
      </c>
      <c r="D18" s="50">
        <v>45811</v>
      </c>
      <c r="E18" s="10"/>
      <c r="F18" s="48">
        <v>0.24398150898279672</v>
      </c>
      <c r="G18" s="48">
        <v>31.001923583984379</v>
      </c>
      <c r="H18" s="48">
        <v>21.33344578742981</v>
      </c>
      <c r="I18" s="48">
        <v>21.951800255599998</v>
      </c>
      <c r="J18" s="48">
        <v>0.24278703562418621</v>
      </c>
      <c r="K18" s="48">
        <v>432.94379837899999</v>
      </c>
      <c r="L18" s="48">
        <f t="shared" si="11"/>
        <v>349.79688655447512</v>
      </c>
      <c r="M18" s="48">
        <v>93.52</v>
      </c>
      <c r="N18" s="48">
        <v>44.7</v>
      </c>
      <c r="O18" s="58">
        <f t="shared" si="0"/>
        <v>2.2350000000000002E-2</v>
      </c>
      <c r="P18" s="48">
        <v>1</v>
      </c>
      <c r="Q18" s="57">
        <f t="shared" si="12"/>
        <v>0.99954013433698952</v>
      </c>
      <c r="R18" s="57">
        <v>-7.7000000000000002E-3</v>
      </c>
      <c r="S18" s="57">
        <f t="shared" si="13"/>
        <v>1.0022328535334775</v>
      </c>
      <c r="T18" s="48">
        <f t="shared" si="14"/>
        <v>0.24321724479665011</v>
      </c>
      <c r="U18" s="49">
        <f t="shared" si="1"/>
        <v>-0.31324676584425148</v>
      </c>
      <c r="V18" s="6">
        <v>0.23</v>
      </c>
      <c r="W18" s="190"/>
      <c r="X18" s="188"/>
      <c r="Y18" s="188"/>
      <c r="Z18" s="185"/>
      <c r="AA18" s="185"/>
      <c r="AB18" s="188"/>
      <c r="AC18" s="188"/>
      <c r="AD18" s="189"/>
      <c r="AF18" s="52">
        <f t="shared" si="9"/>
        <v>39.816020466207583</v>
      </c>
      <c r="AG18" s="187"/>
    </row>
    <row r="19" spans="3:33" x14ac:dyDescent="0.25">
      <c r="C19" s="11" t="s">
        <v>199</v>
      </c>
      <c r="D19" s="50">
        <v>45811</v>
      </c>
      <c r="E19" s="10"/>
      <c r="F19" s="48">
        <v>0.54942290274027972</v>
      </c>
      <c r="G19" s="48">
        <v>31.022500488281249</v>
      </c>
      <c r="H19" s="48">
        <v>21.310935020446777</v>
      </c>
      <c r="I19" s="48">
        <v>21.968578586300001</v>
      </c>
      <c r="J19" s="48">
        <v>0.54881440226236977</v>
      </c>
      <c r="K19" s="48">
        <v>432.92279297300001</v>
      </c>
      <c r="L19" s="48">
        <f t="shared" si="11"/>
        <v>349.78351679328495</v>
      </c>
      <c r="M19" s="48">
        <v>93.52</v>
      </c>
      <c r="N19" s="48">
        <v>44.7</v>
      </c>
      <c r="O19" s="58">
        <f t="shared" si="0"/>
        <v>2.2350000000000002E-2</v>
      </c>
      <c r="P19" s="48">
        <v>1</v>
      </c>
      <c r="Q19" s="57">
        <f t="shared" si="12"/>
        <v>0.99954008973108399</v>
      </c>
      <c r="R19" s="57">
        <v>-7.7000000000000002E-3</v>
      </c>
      <c r="S19" s="57">
        <f t="shared" si="13"/>
        <v>1.0022344450410978</v>
      </c>
      <c r="T19" s="48">
        <f t="shared" si="14"/>
        <v>0.54978772851671032</v>
      </c>
      <c r="U19" s="49">
        <f t="shared" si="1"/>
        <v>6.6401632442151415E-2</v>
      </c>
      <c r="V19" s="6">
        <v>0.23</v>
      </c>
      <c r="W19" s="190">
        <f t="shared" ref="W19" si="24">AVERAGE(U19:U21)</f>
        <v>2.9969197771378325E-2</v>
      </c>
      <c r="X19" s="188">
        <f t="shared" ref="X19" si="25">STDEV(U19:U21)</f>
        <v>3.9458787886466111E-2</v>
      </c>
      <c r="Y19" s="188">
        <f t="shared" ref="Y19" si="26">COUNT(V19:V21)</f>
        <v>3</v>
      </c>
      <c r="Z19" s="185">
        <f t="shared" ref="Z19" si="27">TINV(0.05,Y19-1)</f>
        <v>4.3026527297494637</v>
      </c>
      <c r="AA19" s="185">
        <f t="shared" ref="AA19" si="28">X19*Z19/SQRT(Y19)</f>
        <v>9.8021063048727611E-2</v>
      </c>
      <c r="AB19" s="188">
        <f t="shared" ref="AB19" si="29">AVERAGE(V19:V21)</f>
        <v>0.23</v>
      </c>
      <c r="AC19" s="188">
        <f t="shared" ref="AC19" si="30">SQRT(AA19^2+AB19^2)</f>
        <v>0.25001625707382036</v>
      </c>
      <c r="AD19" s="189">
        <f t="shared" ref="AD19" si="31">AVERAGE(F19:F21)</f>
        <v>0.5086715961565923</v>
      </c>
      <c r="AF19" s="52">
        <f t="shared" si="9"/>
        <v>89.934441610921198</v>
      </c>
      <c r="AG19" s="187">
        <f t="shared" ref="AG19" si="32">AVERAGE(AF19:AF21)</f>
        <v>83.232614284391147</v>
      </c>
    </row>
    <row r="20" spans="3:33" x14ac:dyDescent="0.25">
      <c r="C20" s="11" t="s">
        <v>199</v>
      </c>
      <c r="D20" s="50">
        <v>45811</v>
      </c>
      <c r="E20" s="10"/>
      <c r="F20" s="48">
        <v>0.4883146955148488</v>
      </c>
      <c r="G20" s="48">
        <v>31.018253417968751</v>
      </c>
      <c r="H20" s="48">
        <v>21.298935413360596</v>
      </c>
      <c r="I20" s="48">
        <v>21.9694907692</v>
      </c>
      <c r="J20" s="48">
        <v>0.48739215087890625</v>
      </c>
      <c r="K20" s="48">
        <v>432.91440605000003</v>
      </c>
      <c r="L20" s="48">
        <f t="shared" si="11"/>
        <v>349.77638968909349</v>
      </c>
      <c r="M20" s="48">
        <v>93.52</v>
      </c>
      <c r="N20" s="48">
        <v>44.7</v>
      </c>
      <c r="O20" s="58">
        <f t="shared" si="0"/>
        <v>2.2350000000000002E-2</v>
      </c>
      <c r="P20" s="48">
        <v>1</v>
      </c>
      <c r="Q20" s="57">
        <f t="shared" si="12"/>
        <v>0.99954007191927063</v>
      </c>
      <c r="R20" s="57">
        <v>-7.7000000000000002E-3</v>
      </c>
      <c r="S20" s="57">
        <f t="shared" si="13"/>
        <v>1.0022341165537225</v>
      </c>
      <c r="T20" s="48">
        <f t="shared" si="14"/>
        <v>0.48825637560333385</v>
      </c>
      <c r="U20" s="49">
        <f t="shared" si="1"/>
        <v>-1.1943099818746816E-2</v>
      </c>
      <c r="V20" s="6">
        <v>0.23</v>
      </c>
      <c r="W20" s="190"/>
      <c r="X20" s="188"/>
      <c r="Y20" s="188"/>
      <c r="Z20" s="185"/>
      <c r="AA20" s="185"/>
      <c r="AB20" s="188"/>
      <c r="AC20" s="188"/>
      <c r="AD20" s="189"/>
      <c r="AF20" s="52">
        <f t="shared" si="9"/>
        <v>79.865835835572952</v>
      </c>
      <c r="AG20" s="187"/>
    </row>
    <row r="21" spans="3:33" x14ac:dyDescent="0.25">
      <c r="C21" s="11" t="s">
        <v>199</v>
      </c>
      <c r="D21" s="50">
        <v>45811</v>
      </c>
      <c r="E21" s="10"/>
      <c r="F21" s="48">
        <v>0.48827719021464855</v>
      </c>
      <c r="G21" s="48">
        <v>31.016314453124998</v>
      </c>
      <c r="H21" s="48">
        <v>21.299817562103271</v>
      </c>
      <c r="I21" s="48">
        <v>21.9694907692</v>
      </c>
      <c r="J21" s="48">
        <v>0.48758578491210941</v>
      </c>
      <c r="K21" s="48">
        <v>432.91440605000003</v>
      </c>
      <c r="L21" s="48">
        <f t="shared" si="11"/>
        <v>349.7769136416947</v>
      </c>
      <c r="M21" s="48">
        <v>93.52</v>
      </c>
      <c r="N21" s="48">
        <v>44.7</v>
      </c>
      <c r="O21" s="58">
        <f t="shared" si="0"/>
        <v>2.2350000000000002E-2</v>
      </c>
      <c r="P21" s="48">
        <v>1</v>
      </c>
      <c r="Q21" s="57">
        <f t="shared" si="12"/>
        <v>0.99954007191927063</v>
      </c>
      <c r="R21" s="57">
        <v>-7.7000000000000002E-3</v>
      </c>
      <c r="S21" s="57">
        <f t="shared" si="13"/>
        <v>1.0022339665855982</v>
      </c>
      <c r="T21" s="48">
        <f t="shared" si="14"/>
        <v>0.48845027989214673</v>
      </c>
      <c r="U21" s="49">
        <f t="shared" si="1"/>
        <v>3.5449060690730387E-2</v>
      </c>
      <c r="V21" s="6">
        <v>0.23</v>
      </c>
      <c r="W21" s="190"/>
      <c r="X21" s="188"/>
      <c r="Y21" s="188"/>
      <c r="Z21" s="185"/>
      <c r="AA21" s="185"/>
      <c r="AB21" s="188"/>
      <c r="AC21" s="188"/>
      <c r="AD21" s="189"/>
      <c r="AF21" s="52">
        <f t="shared" si="9"/>
        <v>79.897565406679291</v>
      </c>
      <c r="AG21" s="187"/>
    </row>
    <row r="22" spans="3:33" x14ac:dyDescent="0.25">
      <c r="C22" s="11" t="s">
        <v>199</v>
      </c>
      <c r="D22" s="50">
        <v>45811</v>
      </c>
      <c r="E22" s="10"/>
      <c r="F22" s="48">
        <v>0.97581229581106055</v>
      </c>
      <c r="G22" s="48">
        <v>31.105894287109372</v>
      </c>
      <c r="H22" s="48">
        <v>22.236556529998779</v>
      </c>
      <c r="I22" s="48">
        <v>21.9511339335</v>
      </c>
      <c r="J22" s="48">
        <v>0.97425594075520838</v>
      </c>
      <c r="K22" s="48">
        <v>433.68244620000002</v>
      </c>
      <c r="L22" s="48">
        <f t="shared" si="11"/>
        <v>350.33284791243545</v>
      </c>
      <c r="M22" s="48">
        <v>93.52</v>
      </c>
      <c r="N22" s="48">
        <v>44.7</v>
      </c>
      <c r="O22" s="58">
        <f t="shared" si="0"/>
        <v>2.2350000000000002E-2</v>
      </c>
      <c r="P22" s="48">
        <v>1</v>
      </c>
      <c r="Q22" s="57">
        <f t="shared" si="12"/>
        <v>0.99954169877179599</v>
      </c>
      <c r="R22" s="57">
        <v>-7.7000000000000002E-3</v>
      </c>
      <c r="S22" s="57">
        <f t="shared" si="13"/>
        <v>1.0022408951333626</v>
      </c>
      <c r="T22" s="48">
        <f t="shared" si="14"/>
        <v>0.97599164289154861</v>
      </c>
      <c r="U22" s="49">
        <f t="shared" si="1"/>
        <v>1.8379260156687213E-2</v>
      </c>
      <c r="V22" s="6">
        <v>0.23</v>
      </c>
      <c r="W22" s="190">
        <f t="shared" ref="W22" si="33">AVERAGE(U22:U24)</f>
        <v>2.9397107138738204E-2</v>
      </c>
      <c r="X22" s="188">
        <f t="shared" ref="X22" si="34">STDEV(U22:U24)</f>
        <v>2.1517370432902271E-2</v>
      </c>
      <c r="Y22" s="188">
        <f t="shared" ref="Y22" si="35">COUNT(V22:V24)</f>
        <v>3</v>
      </c>
      <c r="Z22" s="185">
        <f t="shared" ref="Z22" si="36">TINV(0.05,Y22-1)</f>
        <v>4.3026527297494637</v>
      </c>
      <c r="AA22" s="185">
        <f t="shared" ref="AA22" si="37">X22*Z22/SQRT(Y22)</f>
        <v>5.3452111350074077E-2</v>
      </c>
      <c r="AB22" s="188">
        <f t="shared" ref="AB22" si="38">AVERAGE(V22:V24)</f>
        <v>0.23</v>
      </c>
      <c r="AC22" s="188">
        <f t="shared" ref="AC22" si="39">SQRT(AA22^2+AB22^2)</f>
        <v>0.2361294733991941</v>
      </c>
      <c r="AD22" s="189">
        <f t="shared" ref="AD22" si="40">AVERAGE(F22:F24)</f>
        <v>0.97573042133976229</v>
      </c>
      <c r="AF22" s="52">
        <f t="shared" si="9"/>
        <v>159.77859719429651</v>
      </c>
      <c r="AG22" s="187">
        <f t="shared" ref="AG22" si="41">AVERAGE(AF22:AF24)</f>
        <v>159.81457208980427</v>
      </c>
    </row>
    <row r="23" spans="3:33" x14ac:dyDescent="0.25">
      <c r="C23" s="11" t="s">
        <v>199</v>
      </c>
      <c r="D23" s="50">
        <v>45811</v>
      </c>
      <c r="E23" s="10"/>
      <c r="F23" s="48">
        <v>0.97574053126200422</v>
      </c>
      <c r="G23" s="48">
        <v>31.102035400390623</v>
      </c>
      <c r="H23" s="48">
        <v>22.221979856491089</v>
      </c>
      <c r="I23" s="48">
        <v>21.945501846500001</v>
      </c>
      <c r="J23" s="48">
        <v>0.97415773518880211</v>
      </c>
      <c r="K23" s="48">
        <v>433.66780482000001</v>
      </c>
      <c r="L23" s="48">
        <f t="shared" si="11"/>
        <v>350.32420373003674</v>
      </c>
      <c r="M23" s="48">
        <v>93.52</v>
      </c>
      <c r="N23" s="48">
        <v>44.7</v>
      </c>
      <c r="O23" s="58">
        <f t="shared" si="0"/>
        <v>2.2350000000000002E-2</v>
      </c>
      <c r="P23" s="48">
        <v>1</v>
      </c>
      <c r="Q23" s="57">
        <f t="shared" si="12"/>
        <v>0.99954166783936316</v>
      </c>
      <c r="R23" s="57">
        <v>-7.7000000000000002E-3</v>
      </c>
      <c r="S23" s="57">
        <f t="shared" si="13"/>
        <v>1.0022405966659886</v>
      </c>
      <c r="T23" s="48">
        <f t="shared" si="14"/>
        <v>0.97589294154372308</v>
      </c>
      <c r="U23" s="49">
        <f t="shared" si="1"/>
        <v>1.5619960105760659E-2</v>
      </c>
      <c r="V23" s="6">
        <v>0.23</v>
      </c>
      <c r="W23" s="190"/>
      <c r="X23" s="188"/>
      <c r="Y23" s="188"/>
      <c r="Z23" s="185"/>
      <c r="AA23" s="185"/>
      <c r="AB23" s="188"/>
      <c r="AC23" s="188"/>
      <c r="AD23" s="189"/>
      <c r="AF23" s="52">
        <f t="shared" si="9"/>
        <v>159.80349281641057</v>
      </c>
      <c r="AG23" s="187"/>
    </row>
    <row r="24" spans="3:33" x14ac:dyDescent="0.25">
      <c r="C24" s="11" t="s">
        <v>199</v>
      </c>
      <c r="D24" s="50">
        <v>45811</v>
      </c>
      <c r="E24" s="10"/>
      <c r="F24" s="48">
        <v>0.97563843694622254</v>
      </c>
      <c r="G24" s="48">
        <v>31.100284423828128</v>
      </c>
      <c r="H24" s="48">
        <v>22.238182544708252</v>
      </c>
      <c r="I24" s="48">
        <v>21.943687771600001</v>
      </c>
      <c r="J24" s="48">
        <v>0.97443155924479163</v>
      </c>
      <c r="K24" s="48">
        <v>433.68451449700001</v>
      </c>
      <c r="L24" s="48">
        <f t="shared" si="11"/>
        <v>350.33381214991914</v>
      </c>
      <c r="M24" s="48">
        <v>93.52</v>
      </c>
      <c r="N24" s="48">
        <v>44.7</v>
      </c>
      <c r="O24" s="58">
        <f t="shared" si="0"/>
        <v>2.2350000000000002E-2</v>
      </c>
      <c r="P24" s="48">
        <v>1</v>
      </c>
      <c r="Q24" s="57">
        <f t="shared" si="12"/>
        <v>0.99954170314117685</v>
      </c>
      <c r="R24" s="57">
        <v>-7.7000000000000002E-3</v>
      </c>
      <c r="S24" s="57">
        <f t="shared" si="13"/>
        <v>1.002240461235957</v>
      </c>
      <c r="T24" s="48">
        <f t="shared" si="14"/>
        <v>0.97616715591486747</v>
      </c>
      <c r="U24" s="49">
        <f t="shared" si="1"/>
        <v>5.4192101153766742E-2</v>
      </c>
      <c r="V24" s="6">
        <v>0.23</v>
      </c>
      <c r="W24" s="190"/>
      <c r="X24" s="188"/>
      <c r="Y24" s="188"/>
      <c r="Z24" s="185"/>
      <c r="AA24" s="185"/>
      <c r="AB24" s="188"/>
      <c r="AC24" s="188"/>
      <c r="AD24" s="189"/>
      <c r="AF24" s="52">
        <f t="shared" si="9"/>
        <v>159.86162625870571</v>
      </c>
      <c r="AG24" s="187"/>
    </row>
    <row r="25" spans="3:33" x14ac:dyDescent="0.25">
      <c r="C25" s="11" t="s">
        <v>199</v>
      </c>
      <c r="D25" s="50">
        <v>45811</v>
      </c>
      <c r="E25" s="10"/>
      <c r="F25" s="48">
        <v>1.7077736333377871</v>
      </c>
      <c r="G25" s="48">
        <v>31.108985351562502</v>
      </c>
      <c r="H25" s="48">
        <v>22.255390167236328</v>
      </c>
      <c r="I25" s="48">
        <v>21.949319475700001</v>
      </c>
      <c r="J25" s="48">
        <v>1.7057893880208332</v>
      </c>
      <c r="K25" s="48">
        <v>433.69915527699999</v>
      </c>
      <c r="L25" s="48">
        <f t="shared" si="11"/>
        <v>350.34401622131043</v>
      </c>
      <c r="M25" s="48">
        <v>93.52</v>
      </c>
      <c r="N25" s="48">
        <v>44.7</v>
      </c>
      <c r="O25" s="58">
        <f t="shared" si="0"/>
        <v>2.2350000000000002E-2</v>
      </c>
      <c r="P25" s="48">
        <v>1</v>
      </c>
      <c r="Q25" s="57">
        <f t="shared" si="12"/>
        <v>0.99954173406876945</v>
      </c>
      <c r="R25" s="57">
        <v>-7.7000000000000002E-3</v>
      </c>
      <c r="S25" s="57">
        <f t="shared" si="13"/>
        <v>1.0022411342132975</v>
      </c>
      <c r="T25" s="48">
        <f t="shared" si="14"/>
        <v>1.7088288339104378</v>
      </c>
      <c r="U25" s="49">
        <f t="shared" si="1"/>
        <v>6.1788081982995825E-2</v>
      </c>
      <c r="V25" s="6">
        <v>0.23</v>
      </c>
      <c r="W25" s="190">
        <f>AVERAGE(U25:U27)</f>
        <v>9.6370898671581065E-2</v>
      </c>
      <c r="X25" s="188">
        <f t="shared" ref="X25" si="42">STDEV(U25:U27)</f>
        <v>4.1700995596206693E-2</v>
      </c>
      <c r="Y25" s="188">
        <f t="shared" ref="Y25" si="43">COUNT(V25:V27)</f>
        <v>3</v>
      </c>
      <c r="Z25" s="185">
        <f t="shared" ref="Z25" si="44">TINV(0.05,Y25-1)</f>
        <v>4.3026527297494637</v>
      </c>
      <c r="AA25" s="185">
        <f t="shared" ref="AA25" si="45">X25*Z25/SQRT(Y25)</f>
        <v>0.10359101577807153</v>
      </c>
      <c r="AB25" s="188">
        <f t="shared" ref="AB25" si="46">AVERAGE(V25:V27)</f>
        <v>0.23</v>
      </c>
      <c r="AC25" s="188">
        <f t="shared" ref="AC25" si="47">SQRT(AA25^2+AB25^2)</f>
        <v>0.25225205360895014</v>
      </c>
      <c r="AD25" s="189">
        <f t="shared" ref="AD25" si="48">AVERAGE(F25:F27)</f>
        <v>1.7079465904992286</v>
      </c>
      <c r="AF25" s="52">
        <f t="shared" si="9"/>
        <v>279.77367606651768</v>
      </c>
      <c r="AG25" s="187">
        <f t="shared" ref="AG25" si="49">AVERAGE(AF25:AF27)</f>
        <v>279.88623163977519</v>
      </c>
    </row>
    <row r="26" spans="3:33" x14ac:dyDescent="0.25">
      <c r="C26" s="11" t="s">
        <v>199</v>
      </c>
      <c r="D26" s="50">
        <v>45811</v>
      </c>
      <c r="E26" s="10"/>
      <c r="F26" s="48">
        <v>1.7079241942277263</v>
      </c>
      <c r="G26" s="48">
        <v>31.1139423828125</v>
      </c>
      <c r="H26" s="48">
        <v>22.269130229949951</v>
      </c>
      <c r="I26" s="48">
        <v>21.9484123772</v>
      </c>
      <c r="J26" s="48">
        <v>1.7073181966145832</v>
      </c>
      <c r="K26" s="48">
        <v>433.70750923600002</v>
      </c>
      <c r="L26" s="48">
        <f t="shared" si="11"/>
        <v>350.35216382616267</v>
      </c>
      <c r="M26" s="48">
        <v>93.52</v>
      </c>
      <c r="N26" s="48">
        <v>44.7</v>
      </c>
      <c r="O26" s="58">
        <f t="shared" si="0"/>
        <v>2.2350000000000002E-2</v>
      </c>
      <c r="P26" s="48">
        <v>1</v>
      </c>
      <c r="Q26" s="57">
        <f t="shared" si="12"/>
        <v>0.99954175171450321</v>
      </c>
      <c r="R26" s="57">
        <v>-7.7000000000000002E-3</v>
      </c>
      <c r="S26" s="57">
        <f t="shared" si="13"/>
        <v>1.0022415176176109</v>
      </c>
      <c r="T26" s="48">
        <f t="shared" si="14"/>
        <v>1.7103610510859939</v>
      </c>
      <c r="U26" s="49">
        <f t="shared" si="1"/>
        <v>0.1426794506748838</v>
      </c>
      <c r="V26" s="6">
        <v>0.23</v>
      </c>
      <c r="W26" s="190"/>
      <c r="X26" s="188"/>
      <c r="Y26" s="188"/>
      <c r="Z26" s="185"/>
      <c r="AA26" s="185"/>
      <c r="AB26" s="188"/>
      <c r="AC26" s="188"/>
      <c r="AD26" s="189"/>
      <c r="AF26" s="52">
        <f t="shared" si="9"/>
        <v>280.03599541428883</v>
      </c>
      <c r="AG26" s="187"/>
    </row>
    <row r="27" spans="3:33" x14ac:dyDescent="0.25">
      <c r="C27" s="11" t="s">
        <v>199</v>
      </c>
      <c r="D27" s="50">
        <v>45811</v>
      </c>
      <c r="E27" s="10"/>
      <c r="F27" s="48">
        <v>1.7081419439321717</v>
      </c>
      <c r="G27" s="48">
        <v>31.119947753906253</v>
      </c>
      <c r="H27" s="48">
        <v>22.296113967895508</v>
      </c>
      <c r="I27" s="48">
        <v>21.953135828600001</v>
      </c>
      <c r="J27" s="48">
        <v>1.7065454508463542</v>
      </c>
      <c r="K27" s="48">
        <v>433.730503838</v>
      </c>
      <c r="L27" s="48">
        <f t="shared" si="11"/>
        <v>350.36816413579191</v>
      </c>
      <c r="M27" s="48">
        <v>93.52</v>
      </c>
      <c r="N27" s="48">
        <v>44.7</v>
      </c>
      <c r="O27" s="58">
        <f t="shared" si="0"/>
        <v>2.2350000000000002E-2</v>
      </c>
      <c r="P27" s="48">
        <v>1</v>
      </c>
      <c r="Q27" s="57">
        <f t="shared" si="12"/>
        <v>0.99954180027981965</v>
      </c>
      <c r="R27" s="57">
        <v>-7.7000000000000002E-3</v>
      </c>
      <c r="S27" s="57">
        <f t="shared" si="13"/>
        <v>1.0022419821067401</v>
      </c>
      <c r="T27" s="48">
        <f t="shared" si="14"/>
        <v>1.7095878034709802</v>
      </c>
      <c r="U27" s="49">
        <f t="shared" si="1"/>
        <v>8.4645163356863576E-2</v>
      </c>
      <c r="V27" s="6">
        <v>0.23</v>
      </c>
      <c r="W27" s="190"/>
      <c r="X27" s="188"/>
      <c r="Y27" s="188"/>
      <c r="Z27" s="185"/>
      <c r="AA27" s="185"/>
      <c r="AB27" s="188"/>
      <c r="AC27" s="188"/>
      <c r="AD27" s="189"/>
      <c r="AF27" s="52">
        <f t="shared" si="9"/>
        <v>279.84902343851911</v>
      </c>
      <c r="AG27" s="187"/>
    </row>
  </sheetData>
  <mergeCells count="46">
    <mergeCell ref="C2:AD3"/>
    <mergeCell ref="W13:W15"/>
    <mergeCell ref="X13:X15"/>
    <mergeCell ref="Y13:Y15"/>
    <mergeCell ref="Z13:Z15"/>
    <mergeCell ref="AA13:AA15"/>
    <mergeCell ref="AB13:AB15"/>
    <mergeCell ref="AC13:AC15"/>
    <mergeCell ref="AD13:AD15"/>
    <mergeCell ref="AG13:AG15"/>
    <mergeCell ref="W16:W18"/>
    <mergeCell ref="X16:X18"/>
    <mergeCell ref="Y16:Y18"/>
    <mergeCell ref="Z16:Z18"/>
    <mergeCell ref="AA16:AA18"/>
    <mergeCell ref="AB16:AB18"/>
    <mergeCell ref="AC16:AC18"/>
    <mergeCell ref="AD16:AD18"/>
    <mergeCell ref="AG16:AG18"/>
    <mergeCell ref="AC19:AC21"/>
    <mergeCell ref="AD19:AD21"/>
    <mergeCell ref="AG19:AG21"/>
    <mergeCell ref="W22:W24"/>
    <mergeCell ref="X22:X24"/>
    <mergeCell ref="Y22:Y24"/>
    <mergeCell ref="Z22:Z24"/>
    <mergeCell ref="AA22:AA24"/>
    <mergeCell ref="AB22:AB24"/>
    <mergeCell ref="AC22:AC24"/>
    <mergeCell ref="W19:W21"/>
    <mergeCell ref="X19:X21"/>
    <mergeCell ref="Y19:Y21"/>
    <mergeCell ref="Z19:Z21"/>
    <mergeCell ref="AA19:AA21"/>
    <mergeCell ref="AB19:AB21"/>
    <mergeCell ref="AG25:AG27"/>
    <mergeCell ref="AD22:AD24"/>
    <mergeCell ref="AG22:AG24"/>
    <mergeCell ref="W25:W27"/>
    <mergeCell ref="X25:X27"/>
    <mergeCell ref="Y25:Y27"/>
    <mergeCell ref="Z25:Z27"/>
    <mergeCell ref="AA25:AA27"/>
    <mergeCell ref="AB25:AB27"/>
    <mergeCell ref="AC25:AC27"/>
    <mergeCell ref="AD25:AD27"/>
  </mergeCells>
  <phoneticPr fontId="14" type="noConversion"/>
  <conditionalFormatting sqref="F13:F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27645-4B18-4983-B2CE-DD25ABADB3C0}">
  <sheetPr codeName="Sheet1"/>
  <dimension ref="C2:AG27"/>
  <sheetViews>
    <sheetView topLeftCell="E1" workbookViewId="0">
      <selection activeCell="H9" sqref="H9"/>
    </sheetView>
  </sheetViews>
  <sheetFormatPr defaultRowHeight="15" x14ac:dyDescent="0.25"/>
  <cols>
    <col min="3" max="3" width="11.28515625" customWidth="1"/>
    <col min="4" max="4" width="20.5703125" customWidth="1"/>
    <col min="7" max="7" width="9" bestFit="1" customWidth="1"/>
  </cols>
  <sheetData>
    <row r="2" spans="3:33" ht="26.25" x14ac:dyDescent="0.25">
      <c r="C2" s="191" t="s">
        <v>32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28"/>
      <c r="AF2" s="28"/>
      <c r="AG2" s="28"/>
    </row>
    <row r="3" spans="3:33" ht="26.25" x14ac:dyDescent="0.25"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8"/>
      <c r="AF3" s="28"/>
      <c r="AG3" s="28"/>
    </row>
    <row r="4" spans="3:33" x14ac:dyDescent="0.25">
      <c r="AB4" s="7"/>
      <c r="AC4" s="7"/>
      <c r="AD4" s="7"/>
      <c r="AE4" s="7"/>
      <c r="AF4" s="7"/>
      <c r="AG4" s="7"/>
    </row>
    <row r="5" spans="3:33" x14ac:dyDescent="0.25">
      <c r="C5" t="s">
        <v>194</v>
      </c>
      <c r="D5" s="168">
        <v>1.47</v>
      </c>
      <c r="E5" s="168"/>
      <c r="F5" s="34" t="s">
        <v>195</v>
      </c>
      <c r="AB5" s="7"/>
      <c r="AC5" s="7"/>
      <c r="AD5" s="7"/>
      <c r="AE5" s="7"/>
      <c r="AF5" s="7"/>
      <c r="AG5" s="7"/>
    </row>
    <row r="6" spans="3:33" x14ac:dyDescent="0.25">
      <c r="C6" t="s">
        <v>196</v>
      </c>
      <c r="D6" s="34">
        <v>28.013000000000002</v>
      </c>
      <c r="E6" s="34"/>
      <c r="F6" s="34" t="s">
        <v>197</v>
      </c>
      <c r="AB6" s="7"/>
      <c r="AC6" s="7"/>
      <c r="AD6" s="7"/>
      <c r="AE6" s="7"/>
      <c r="AF6" s="7"/>
      <c r="AG6" s="7"/>
    </row>
    <row r="7" spans="3:33" x14ac:dyDescent="0.25">
      <c r="D7" s="169" t="s">
        <v>117</v>
      </c>
      <c r="E7" s="169"/>
      <c r="F7" s="34"/>
      <c r="AB7" s="7"/>
      <c r="AC7" s="7"/>
      <c r="AD7" s="7"/>
      <c r="AE7" s="7"/>
      <c r="AF7" s="7"/>
      <c r="AG7" s="7"/>
    </row>
    <row r="8" spans="3:33" x14ac:dyDescent="0.25">
      <c r="AB8" s="7"/>
      <c r="AC8" s="7"/>
      <c r="AD8" s="7"/>
      <c r="AE8" s="7"/>
      <c r="AF8" s="7"/>
      <c r="AG8" s="7"/>
    </row>
    <row r="9" spans="3:33" x14ac:dyDescent="0.25">
      <c r="C9" s="7" t="s">
        <v>54</v>
      </c>
      <c r="D9" s="56" t="s">
        <v>116</v>
      </c>
      <c r="AB9" s="7"/>
      <c r="AC9" s="7">
        <f>AVERAGE(AC13:AC27,AC37:AC54)</f>
        <v>0.36876387499487356</v>
      </c>
      <c r="AD9" s="7"/>
      <c r="AE9" s="7"/>
      <c r="AF9" s="7"/>
      <c r="AG9" s="7"/>
    </row>
    <row r="10" spans="3:33" ht="21" x14ac:dyDescent="0.35">
      <c r="C10" s="1" t="s">
        <v>35</v>
      </c>
      <c r="E10" s="3"/>
      <c r="F10" s="1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</row>
    <row r="11" spans="3:33" ht="60" x14ac:dyDescent="0.25">
      <c r="C11" s="14" t="s">
        <v>44</v>
      </c>
      <c r="D11" s="14" t="s">
        <v>0</v>
      </c>
      <c r="E11" s="8" t="s">
        <v>1</v>
      </c>
      <c r="F11" s="15" t="s">
        <v>36</v>
      </c>
      <c r="G11" s="15" t="s">
        <v>2</v>
      </c>
      <c r="H11" s="15" t="s">
        <v>3</v>
      </c>
      <c r="I11" s="15" t="s">
        <v>4</v>
      </c>
      <c r="J11" s="15" t="s">
        <v>37</v>
      </c>
      <c r="K11" s="15" t="s">
        <v>93</v>
      </c>
      <c r="L11" s="15" t="s">
        <v>198</v>
      </c>
      <c r="M11" s="15" t="s">
        <v>94</v>
      </c>
      <c r="N11" s="15" t="s">
        <v>95</v>
      </c>
      <c r="O11" s="15" t="s">
        <v>96</v>
      </c>
      <c r="P11" s="15" t="s">
        <v>97</v>
      </c>
      <c r="Q11" s="15" t="s">
        <v>98</v>
      </c>
      <c r="R11" s="15" t="s">
        <v>105</v>
      </c>
      <c r="S11" s="15" t="s">
        <v>99</v>
      </c>
      <c r="T11" s="15" t="s">
        <v>103</v>
      </c>
      <c r="U11" s="15" t="s">
        <v>5</v>
      </c>
      <c r="V11" s="4" t="s">
        <v>51</v>
      </c>
      <c r="W11" s="35" t="s">
        <v>20</v>
      </c>
      <c r="X11" s="35" t="s">
        <v>21</v>
      </c>
      <c r="Y11" s="35" t="s">
        <v>42</v>
      </c>
      <c r="Z11" s="35" t="s">
        <v>43</v>
      </c>
      <c r="AA11" s="35" t="s">
        <v>22</v>
      </c>
      <c r="AB11" s="35" t="s">
        <v>52</v>
      </c>
      <c r="AC11" s="35" t="s">
        <v>23</v>
      </c>
      <c r="AD11" s="35" t="s">
        <v>39</v>
      </c>
      <c r="AF11" s="35" t="s">
        <v>48</v>
      </c>
      <c r="AG11" s="35" t="s">
        <v>46</v>
      </c>
    </row>
    <row r="12" spans="3:33" x14ac:dyDescent="0.25">
      <c r="C12" s="51" t="s">
        <v>7</v>
      </c>
      <c r="D12" s="16" t="s">
        <v>7</v>
      </c>
      <c r="E12" s="17" t="s">
        <v>7</v>
      </c>
      <c r="F12" s="18" t="s">
        <v>38</v>
      </c>
      <c r="G12" s="18" t="s">
        <v>41</v>
      </c>
      <c r="H12" s="18" t="s">
        <v>9</v>
      </c>
      <c r="I12" s="18" t="s">
        <v>11</v>
      </c>
      <c r="J12" s="18" t="s">
        <v>38</v>
      </c>
      <c r="K12" s="18" t="s">
        <v>100</v>
      </c>
      <c r="L12" s="18" t="s">
        <v>100</v>
      </c>
      <c r="M12" s="18" t="s">
        <v>101</v>
      </c>
      <c r="N12" s="18" t="s">
        <v>102</v>
      </c>
      <c r="O12" s="18" t="s">
        <v>104</v>
      </c>
      <c r="P12" s="18" t="s">
        <v>7</v>
      </c>
      <c r="Q12" s="18" t="s">
        <v>7</v>
      </c>
      <c r="R12" s="18"/>
      <c r="S12" s="18" t="s">
        <v>7</v>
      </c>
      <c r="T12" s="18" t="s">
        <v>38</v>
      </c>
      <c r="U12" s="18" t="s">
        <v>10</v>
      </c>
      <c r="V12" s="5" t="s">
        <v>10</v>
      </c>
      <c r="W12" s="36" t="s">
        <v>10</v>
      </c>
      <c r="X12" s="37"/>
      <c r="Y12" s="37"/>
      <c r="Z12" s="37"/>
      <c r="AA12" s="38" t="s">
        <v>10</v>
      </c>
      <c r="AB12" s="23" t="s">
        <v>10</v>
      </c>
      <c r="AC12" s="23" t="s">
        <v>10</v>
      </c>
      <c r="AD12" s="23" t="s">
        <v>38</v>
      </c>
      <c r="AF12" s="23" t="s">
        <v>47</v>
      </c>
      <c r="AG12" s="23" t="s">
        <v>47</v>
      </c>
    </row>
    <row r="13" spans="3:33" x14ac:dyDescent="0.25">
      <c r="C13" s="11" t="s">
        <v>117</v>
      </c>
      <c r="D13" s="50">
        <v>45482.376550925903</v>
      </c>
      <c r="E13" s="10">
        <v>4</v>
      </c>
      <c r="F13" s="48">
        <v>4.1019269611173002</v>
      </c>
      <c r="G13" s="48">
        <v>38.232052875021637</v>
      </c>
      <c r="H13" s="48">
        <v>19.972625296541999</v>
      </c>
      <c r="I13" s="48">
        <v>44.197689687796903</v>
      </c>
      <c r="J13" s="48">
        <v>4.0967984968147899</v>
      </c>
      <c r="K13" s="48">
        <v>356.07561044300002</v>
      </c>
      <c r="L13" s="48">
        <f>SQRT(($D$5)*8.314*(H13+273.15)/($D$6/1000))</f>
        <v>357.60908024017141</v>
      </c>
      <c r="M13" s="48">
        <v>93.52</v>
      </c>
      <c r="N13" s="48">
        <v>44.7</v>
      </c>
      <c r="O13" s="58">
        <f t="shared" ref="O13:O27" si="0">N13/2/1000</f>
        <v>2.2350000000000002E-2</v>
      </c>
      <c r="P13" s="48">
        <v>1</v>
      </c>
      <c r="Q13" s="57">
        <f>1/(1+P13*0.5*(2*PI()*M13/K13*O13)^2)</f>
        <v>0.99932030504068747</v>
      </c>
      <c r="R13" s="57">
        <v>-7.7000000000000002E-3</v>
      </c>
      <c r="S13" s="57">
        <f>1/(1+R13/100*((G13)-2.06843))</f>
        <v>1.0027923746048009</v>
      </c>
      <c r="T13" s="48">
        <f>J13*S13*Q13</f>
        <v>4.1054459440389444</v>
      </c>
      <c r="U13" s="49">
        <f t="shared" ref="U13:U27" si="1">(T13-F13)/F13*100</f>
        <v>8.5788531950985639E-2</v>
      </c>
      <c r="V13" s="6">
        <v>0.35</v>
      </c>
      <c r="W13" s="190">
        <f t="shared" ref="W13" si="2">AVERAGE(U13:U15)</f>
        <v>0.14134915530322331</v>
      </c>
      <c r="X13" s="188">
        <f t="shared" ref="X13" si="3">STDEV(U13:U15)</f>
        <v>7.5477795209316467E-2</v>
      </c>
      <c r="Y13" s="188">
        <f t="shared" ref="Y13" si="4">COUNT(V13:V15)</f>
        <v>3</v>
      </c>
      <c r="Z13" s="185">
        <f t="shared" ref="Z13" si="5">TINV(0.05,Y13-1)</f>
        <v>4.3026527297494637</v>
      </c>
      <c r="AA13" s="185">
        <f>X13*Z13/SQRT(Y13)</f>
        <v>0.18749723747923153</v>
      </c>
      <c r="AB13" s="188">
        <f t="shared" ref="AB13" si="6">AVERAGE(V13:V15)</f>
        <v>0.34999999999999992</v>
      </c>
      <c r="AC13" s="188">
        <f t="shared" ref="AC13" si="7">SQRT(AA13^2+AB13^2)</f>
        <v>0.39705819984272239</v>
      </c>
      <c r="AD13" s="189">
        <f t="shared" ref="AD13" si="8">AVERAGE(F13:F15)</f>
        <v>4.1019859936586833</v>
      </c>
      <c r="AF13" s="52">
        <f t="shared" ref="AF13:AF27" si="9">J13/I13*3600</f>
        <v>333.69333765437375</v>
      </c>
      <c r="AG13" s="187">
        <f t="shared" ref="AG13" si="10">AVERAGE(AF13:AF15)</f>
        <v>333.94333777433781</v>
      </c>
    </row>
    <row r="14" spans="3:33" x14ac:dyDescent="0.25">
      <c r="C14" s="11" t="s">
        <v>117</v>
      </c>
      <c r="D14" s="50">
        <v>45482.383206018501</v>
      </c>
      <c r="E14" s="10">
        <v>5</v>
      </c>
      <c r="F14" s="48">
        <v>4.1022572043208196</v>
      </c>
      <c r="G14" s="48">
        <v>38.230861039211668</v>
      </c>
      <c r="H14" s="48">
        <v>20.020278673027001</v>
      </c>
      <c r="I14" s="48">
        <v>44.188446312179799</v>
      </c>
      <c r="J14" s="48">
        <v>4.1029203824485796</v>
      </c>
      <c r="K14" s="48">
        <v>356.10767809499998</v>
      </c>
      <c r="L14" s="48">
        <f t="shared" ref="L14:L27" si="11">SQRT(($D$5)*8.314*(H14+273.15)/($D$6/1000))</f>
        <v>357.63814757601369</v>
      </c>
      <c r="M14" s="48">
        <v>93.52</v>
      </c>
      <c r="N14" s="48">
        <v>44.7</v>
      </c>
      <c r="O14" s="58">
        <f t="shared" si="0"/>
        <v>2.2350000000000002E-2</v>
      </c>
      <c r="P14" s="48">
        <v>1</v>
      </c>
      <c r="Q14" s="57">
        <f t="shared" ref="Q14:Q27" si="12">1/(1+P14*0.5*(2*PI()*M14/K14*O14)^2)</f>
        <v>0.99932042736564641</v>
      </c>
      <c r="R14" s="57">
        <v>-7.7000000000000002E-3</v>
      </c>
      <c r="S14" s="57">
        <f t="shared" ref="S14:S27" si="13">1/(1+R14/100*((G14)-2.06843))</f>
        <v>1.0027922823202164</v>
      </c>
      <c r="T14" s="48">
        <f t="shared" ref="T14:T27" si="14">J14*S14*Q14</f>
        <v>4.1115808765488318</v>
      </c>
      <c r="U14" s="49">
        <f t="shared" si="1"/>
        <v>0.22728151268018226</v>
      </c>
      <c r="V14" s="6">
        <v>0.35</v>
      </c>
      <c r="W14" s="190"/>
      <c r="X14" s="188"/>
      <c r="Y14" s="188"/>
      <c r="Z14" s="185"/>
      <c r="AA14" s="185"/>
      <c r="AB14" s="188"/>
      <c r="AC14" s="188"/>
      <c r="AD14" s="189"/>
      <c r="AF14" s="52">
        <f t="shared" si="9"/>
        <v>334.26188539115128</v>
      </c>
      <c r="AG14" s="187"/>
    </row>
    <row r="15" spans="3:33" x14ac:dyDescent="0.25">
      <c r="C15" s="11" t="s">
        <v>117</v>
      </c>
      <c r="D15" s="50">
        <v>45482.390150462998</v>
      </c>
      <c r="E15" s="10">
        <v>6</v>
      </c>
      <c r="F15" s="48">
        <v>4.1017738155379302</v>
      </c>
      <c r="G15" s="48">
        <v>38.2271994770161</v>
      </c>
      <c r="H15" s="48">
        <v>20.02669400501</v>
      </c>
      <c r="I15" s="48">
        <v>44.183147092438801</v>
      </c>
      <c r="J15" s="48">
        <v>4.0976774914687297</v>
      </c>
      <c r="K15" s="48">
        <v>356.11409112199999</v>
      </c>
      <c r="L15" s="48">
        <f t="shared" si="11"/>
        <v>357.64206058333713</v>
      </c>
      <c r="M15" s="48">
        <v>93.52</v>
      </c>
      <c r="N15" s="48">
        <v>44.7</v>
      </c>
      <c r="O15" s="58">
        <f t="shared" si="0"/>
        <v>2.2350000000000002E-2</v>
      </c>
      <c r="P15" s="48">
        <v>1</v>
      </c>
      <c r="Q15" s="57">
        <f t="shared" si="12"/>
        <v>0.99932045182475659</v>
      </c>
      <c r="R15" s="57">
        <v>-7.7000000000000002E-3</v>
      </c>
      <c r="S15" s="57">
        <f t="shared" si="13"/>
        <v>1.0027919988032956</v>
      </c>
      <c r="T15" s="48">
        <f t="shared" si="14"/>
        <v>4.106325858345091</v>
      </c>
      <c r="U15" s="49">
        <f t="shared" si="1"/>
        <v>0.11097742127850205</v>
      </c>
      <c r="V15" s="6">
        <v>0.35</v>
      </c>
      <c r="W15" s="190"/>
      <c r="X15" s="188"/>
      <c r="Y15" s="188"/>
      <c r="Z15" s="185"/>
      <c r="AA15" s="185"/>
      <c r="AB15" s="188"/>
      <c r="AC15" s="188"/>
      <c r="AD15" s="189"/>
      <c r="AF15" s="52">
        <f t="shared" si="9"/>
        <v>333.87479027748844</v>
      </c>
      <c r="AG15" s="187"/>
    </row>
    <row r="16" spans="3:33" x14ac:dyDescent="0.25">
      <c r="C16" s="11" t="s">
        <v>117</v>
      </c>
      <c r="D16" s="50">
        <v>45482.398900462998</v>
      </c>
      <c r="E16" s="10">
        <v>7</v>
      </c>
      <c r="F16" s="48">
        <v>2.3555960833056502</v>
      </c>
      <c r="G16" s="48">
        <v>38.317306201250148</v>
      </c>
      <c r="H16" s="48">
        <v>20.050846279447001</v>
      </c>
      <c r="I16" s="48">
        <v>44.283517945277801</v>
      </c>
      <c r="J16" s="48">
        <v>2.3539227431707701</v>
      </c>
      <c r="K16" s="48">
        <v>356.14794757999999</v>
      </c>
      <c r="L16" s="48">
        <f t="shared" si="11"/>
        <v>357.65679178721808</v>
      </c>
      <c r="M16" s="48">
        <v>93.52</v>
      </c>
      <c r="N16" s="48">
        <v>44.7</v>
      </c>
      <c r="O16" s="58">
        <f t="shared" si="0"/>
        <v>2.2350000000000002E-2</v>
      </c>
      <c r="P16" s="48">
        <v>1</v>
      </c>
      <c r="Q16" s="57">
        <f t="shared" si="12"/>
        <v>0.99932058093048437</v>
      </c>
      <c r="R16" s="57">
        <v>-7.7000000000000002E-3</v>
      </c>
      <c r="S16" s="57">
        <f t="shared" si="13"/>
        <v>1.0027989758666818</v>
      </c>
      <c r="T16" s="48">
        <f t="shared" si="14"/>
        <v>2.3589075397189587</v>
      </c>
      <c r="U16" s="49">
        <f t="shared" si="1"/>
        <v>0.14057827811725337</v>
      </c>
      <c r="V16" s="6">
        <v>0.35</v>
      </c>
      <c r="W16" s="190">
        <f t="shared" ref="W16" si="15">AVERAGE(U16:U18)</f>
        <v>0.14121849774893711</v>
      </c>
      <c r="X16" s="188">
        <f t="shared" ref="X16" si="16">STDEV(U16:U18)</f>
        <v>5.4393463759134907E-3</v>
      </c>
      <c r="Y16" s="188">
        <f t="shared" ref="Y16" si="17">COUNT(V16:V18)</f>
        <v>3</v>
      </c>
      <c r="Z16" s="185">
        <f t="shared" ref="Z16" si="18">TINV(0.05,Y16-1)</f>
        <v>4.3026527297494637</v>
      </c>
      <c r="AA16" s="185">
        <f t="shared" ref="AA16" si="19">X16*Z16/SQRT(Y16)</f>
        <v>1.3512085459679194E-2</v>
      </c>
      <c r="AB16" s="188">
        <f t="shared" ref="AB16" si="20">AVERAGE(V16:V18)</f>
        <v>0.34999999999999992</v>
      </c>
      <c r="AC16" s="188">
        <f t="shared" ref="AC16" si="21">SQRT(AA16^2+AB16^2)</f>
        <v>0.35026072639316785</v>
      </c>
      <c r="AD16" s="189">
        <f t="shared" ref="AD16" si="22">AVERAGE(F16:F18)</f>
        <v>2.3544478229827299</v>
      </c>
      <c r="AF16" s="52">
        <f t="shared" si="9"/>
        <v>191.36062961137023</v>
      </c>
      <c r="AG16" s="187">
        <f t="shared" ref="AG16" si="23">AVERAGE(AF16:AF18)</f>
        <v>191.36027376101845</v>
      </c>
    </row>
    <row r="17" spans="3:33" x14ac:dyDescent="0.25">
      <c r="C17" s="11" t="s">
        <v>117</v>
      </c>
      <c r="D17" s="50">
        <v>45482.409884259301</v>
      </c>
      <c r="E17" s="10">
        <v>8</v>
      </c>
      <c r="F17" s="48">
        <v>2.3541059499615899</v>
      </c>
      <c r="G17" s="48">
        <v>38.291759658841706</v>
      </c>
      <c r="H17" s="48">
        <v>20.019448302859999</v>
      </c>
      <c r="I17" s="48">
        <v>44.259119986444702</v>
      </c>
      <c r="J17" s="48">
        <v>2.3525882159556901</v>
      </c>
      <c r="K17" s="48">
        <v>356.12169502299997</v>
      </c>
      <c r="L17" s="48">
        <f t="shared" si="11"/>
        <v>357.63764109176168</v>
      </c>
      <c r="M17" s="48">
        <v>93.52</v>
      </c>
      <c r="N17" s="48">
        <v>44.7</v>
      </c>
      <c r="O17" s="58">
        <f t="shared" si="0"/>
        <v>2.2350000000000002E-2</v>
      </c>
      <c r="P17" s="48">
        <v>1</v>
      </c>
      <c r="Q17" s="57">
        <f t="shared" si="12"/>
        <v>0.99932048082411706</v>
      </c>
      <c r="R17" s="57">
        <v>-7.7000000000000002E-3</v>
      </c>
      <c r="S17" s="57">
        <f t="shared" si="13"/>
        <v>1.0027969977597677</v>
      </c>
      <c r="T17" s="48">
        <f t="shared" si="14"/>
        <v>2.3575652997584879</v>
      </c>
      <c r="U17" s="49">
        <f t="shared" si="1"/>
        <v>0.14694962208283088</v>
      </c>
      <c r="V17" s="6">
        <v>0.35</v>
      </c>
      <c r="W17" s="190"/>
      <c r="X17" s="188"/>
      <c r="Y17" s="188"/>
      <c r="Z17" s="185"/>
      <c r="AA17" s="185"/>
      <c r="AB17" s="188"/>
      <c r="AC17" s="188"/>
      <c r="AD17" s="189"/>
      <c r="AF17" s="52">
        <f t="shared" si="9"/>
        <v>191.3575683392348</v>
      </c>
      <c r="AG17" s="187"/>
    </row>
    <row r="18" spans="3:33" x14ac:dyDescent="0.25">
      <c r="C18" s="11" t="s">
        <v>117</v>
      </c>
      <c r="D18" s="50">
        <v>45482.424467592602</v>
      </c>
      <c r="E18" s="10">
        <v>10</v>
      </c>
      <c r="F18" s="48">
        <v>2.3536414356809501</v>
      </c>
      <c r="G18" s="48">
        <v>38.270612106409715</v>
      </c>
      <c r="H18" s="48">
        <v>19.959577427168998</v>
      </c>
      <c r="I18" s="48">
        <v>44.244515728045101</v>
      </c>
      <c r="J18" s="48">
        <v>2.35187405494238</v>
      </c>
      <c r="K18" s="48">
        <v>356.078538095</v>
      </c>
      <c r="L18" s="48">
        <f t="shared" si="11"/>
        <v>357.60112096291118</v>
      </c>
      <c r="M18" s="48">
        <v>93.52</v>
      </c>
      <c r="N18" s="48">
        <v>44.7</v>
      </c>
      <c r="O18" s="58">
        <f t="shared" si="0"/>
        <v>2.2350000000000002E-2</v>
      </c>
      <c r="P18" s="48">
        <v>1</v>
      </c>
      <c r="Q18" s="57">
        <f t="shared" si="12"/>
        <v>0.99932031620985051</v>
      </c>
      <c r="R18" s="57">
        <v>-7.7000000000000002E-3</v>
      </c>
      <c r="S18" s="57">
        <f t="shared" si="13"/>
        <v>1.0027953602791182</v>
      </c>
      <c r="T18" s="48">
        <f t="shared" si="14"/>
        <v>2.356845391116293</v>
      </c>
      <c r="U18" s="49">
        <f t="shared" si="1"/>
        <v>0.13612759304672711</v>
      </c>
      <c r="V18" s="6">
        <v>0.35</v>
      </c>
      <c r="W18" s="190"/>
      <c r="X18" s="188"/>
      <c r="Y18" s="188"/>
      <c r="Z18" s="185"/>
      <c r="AA18" s="185"/>
      <c r="AB18" s="188"/>
      <c r="AC18" s="188"/>
      <c r="AD18" s="189"/>
      <c r="AF18" s="52">
        <f t="shared" si="9"/>
        <v>191.36262333245031</v>
      </c>
      <c r="AG18" s="187"/>
    </row>
    <row r="19" spans="3:33" x14ac:dyDescent="0.25">
      <c r="C19" s="11" t="s">
        <v>117</v>
      </c>
      <c r="D19" s="50">
        <v>45482.434641203698</v>
      </c>
      <c r="E19" s="10">
        <v>11</v>
      </c>
      <c r="F19" s="48">
        <v>1.1693854227781899</v>
      </c>
      <c r="G19" s="48">
        <v>38.302993529476268</v>
      </c>
      <c r="H19" s="48">
        <v>19.983382901809001</v>
      </c>
      <c r="I19" s="48">
        <v>44.278094298310599</v>
      </c>
      <c r="J19" s="48">
        <v>1.1672050124479201</v>
      </c>
      <c r="K19" s="48">
        <v>356.09837598500002</v>
      </c>
      <c r="L19" s="48">
        <f t="shared" si="11"/>
        <v>357.61564230958771</v>
      </c>
      <c r="M19" s="48">
        <v>93.52</v>
      </c>
      <c r="N19" s="48">
        <v>44.7</v>
      </c>
      <c r="O19" s="58">
        <f t="shared" si="0"/>
        <v>2.2350000000000002E-2</v>
      </c>
      <c r="P19" s="48">
        <v>1</v>
      </c>
      <c r="Q19" s="57">
        <f t="shared" si="12"/>
        <v>0.99932039188530619</v>
      </c>
      <c r="R19" s="57">
        <v>-7.7000000000000002E-3</v>
      </c>
      <c r="S19" s="57">
        <f t="shared" si="13"/>
        <v>1.0027978676141793</v>
      </c>
      <c r="T19" s="48">
        <f t="shared" si="14"/>
        <v>1.1696752361672886</v>
      </c>
      <c r="U19" s="49">
        <f t="shared" si="1"/>
        <v>2.4783393349490847E-2</v>
      </c>
      <c r="V19" s="6">
        <v>0.35</v>
      </c>
      <c r="W19" s="190">
        <f t="shared" ref="W19" si="24">AVERAGE(U19:U21)</f>
        <v>3.5597597680124611E-2</v>
      </c>
      <c r="X19" s="188">
        <f t="shared" ref="X19" si="25">STDEV(U19:U21)</f>
        <v>9.3748693727201387E-3</v>
      </c>
      <c r="Y19" s="188">
        <f t="shared" ref="Y19" si="26">COUNT(V19:V21)</f>
        <v>3</v>
      </c>
      <c r="Z19" s="185">
        <f t="shared" ref="Z19" si="27">TINV(0.05,Y19-1)</f>
        <v>4.3026527297494637</v>
      </c>
      <c r="AA19" s="185">
        <f t="shared" ref="AA19" si="28">X19*Z19/SQRT(Y19)</f>
        <v>2.3288466551507268E-2</v>
      </c>
      <c r="AB19" s="188">
        <f t="shared" ref="AB19" si="29">AVERAGE(V19:V21)</f>
        <v>0.34999999999999992</v>
      </c>
      <c r="AC19" s="188">
        <f t="shared" ref="AC19" si="30">SQRT(AA19^2+AB19^2)</f>
        <v>0.35077393385814831</v>
      </c>
      <c r="AD19" s="189">
        <f t="shared" ref="AD19" si="31">AVERAGE(F19:F21)</f>
        <v>1.1687477926260466</v>
      </c>
      <c r="AF19" s="52">
        <f t="shared" si="9"/>
        <v>94.898800668863359</v>
      </c>
      <c r="AG19" s="187">
        <f t="shared" ref="AG19" si="32">AVERAGE(AF19:AF21)</f>
        <v>94.886715823410398</v>
      </c>
    </row>
    <row r="20" spans="3:33" x14ac:dyDescent="0.25">
      <c r="C20" s="11" t="s">
        <v>117</v>
      </c>
      <c r="D20" s="50">
        <v>45482.448402777802</v>
      </c>
      <c r="E20" s="10">
        <v>12</v>
      </c>
      <c r="F20" s="48">
        <v>1.16862571123976</v>
      </c>
      <c r="G20" s="48">
        <v>38.290629050128778</v>
      </c>
      <c r="H20" s="48">
        <v>19.990123350891999</v>
      </c>
      <c r="I20" s="48">
        <v>44.262656809384602</v>
      </c>
      <c r="J20" s="48">
        <v>1.1666320602856901</v>
      </c>
      <c r="K20" s="48">
        <v>356.10245347599999</v>
      </c>
      <c r="L20" s="48">
        <f t="shared" si="11"/>
        <v>357.61975387843665</v>
      </c>
      <c r="M20" s="48">
        <v>93.52</v>
      </c>
      <c r="N20" s="48">
        <v>44.7</v>
      </c>
      <c r="O20" s="58">
        <f t="shared" si="0"/>
        <v>2.2350000000000002E-2</v>
      </c>
      <c r="P20" s="48">
        <v>1</v>
      </c>
      <c r="Q20" s="57">
        <f t="shared" si="12"/>
        <v>0.99932040743811623</v>
      </c>
      <c r="R20" s="57">
        <v>-7.7000000000000002E-3</v>
      </c>
      <c r="S20" s="57">
        <f t="shared" si="13"/>
        <v>1.0027969102152277</v>
      </c>
      <c r="T20" s="48">
        <f t="shared" si="14"/>
        <v>1.1690999734550602</v>
      </c>
      <c r="U20" s="49">
        <f t="shared" si="1"/>
        <v>4.0582900986928877E-2</v>
      </c>
      <c r="V20" s="6">
        <v>0.35</v>
      </c>
      <c r="W20" s="190"/>
      <c r="X20" s="188"/>
      <c r="Y20" s="188"/>
      <c r="Z20" s="185"/>
      <c r="AA20" s="185"/>
      <c r="AB20" s="188"/>
      <c r="AC20" s="188"/>
      <c r="AD20" s="189"/>
      <c r="AF20" s="52">
        <f t="shared" si="9"/>
        <v>94.88529879973278</v>
      </c>
      <c r="AG20" s="187"/>
    </row>
    <row r="21" spans="3:33" x14ac:dyDescent="0.25">
      <c r="C21" s="11" t="s">
        <v>117</v>
      </c>
      <c r="D21" s="50">
        <v>45482.461562500001</v>
      </c>
      <c r="E21" s="10">
        <v>13</v>
      </c>
      <c r="F21" s="48">
        <v>1.16823224386019</v>
      </c>
      <c r="G21" s="48">
        <v>38.283254958393862</v>
      </c>
      <c r="H21" s="48">
        <v>20.000101164638</v>
      </c>
      <c r="I21" s="48">
        <v>44.252465911011797</v>
      </c>
      <c r="J21" s="48">
        <v>1.16624974443441</v>
      </c>
      <c r="K21" s="48">
        <v>356.10653088399999</v>
      </c>
      <c r="L21" s="48">
        <f t="shared" si="11"/>
        <v>357.62584010247849</v>
      </c>
      <c r="M21" s="48">
        <v>93.52</v>
      </c>
      <c r="N21" s="48">
        <v>44.7</v>
      </c>
      <c r="O21" s="58">
        <f t="shared" si="0"/>
        <v>2.2350000000000002E-2</v>
      </c>
      <c r="P21" s="48">
        <v>1</v>
      </c>
      <c r="Q21" s="57">
        <f t="shared" si="12"/>
        <v>0.99932042299007573</v>
      </c>
      <c r="R21" s="57">
        <v>-7.7000000000000002E-3</v>
      </c>
      <c r="S21" s="57">
        <f t="shared" si="13"/>
        <v>1.0027963392298478</v>
      </c>
      <c r="T21" s="48">
        <f t="shared" si="14"/>
        <v>1.1687162015755519</v>
      </c>
      <c r="U21" s="49">
        <f t="shared" si="1"/>
        <v>4.1426498703954116E-2</v>
      </c>
      <c r="V21" s="6">
        <v>0.35</v>
      </c>
      <c r="W21" s="190"/>
      <c r="X21" s="188"/>
      <c r="Y21" s="188"/>
      <c r="Z21" s="185"/>
      <c r="AA21" s="185"/>
      <c r="AB21" s="188"/>
      <c r="AC21" s="188"/>
      <c r="AD21" s="189"/>
      <c r="AF21" s="52">
        <f t="shared" si="9"/>
        <v>94.876048001635084</v>
      </c>
      <c r="AG21" s="187"/>
    </row>
    <row r="22" spans="3:33" x14ac:dyDescent="0.25">
      <c r="C22" s="11" t="s">
        <v>117</v>
      </c>
      <c r="D22" s="50">
        <v>45482.476446759298</v>
      </c>
      <c r="E22" s="10">
        <v>14</v>
      </c>
      <c r="F22" s="48">
        <v>0.59249731233885505</v>
      </c>
      <c r="G22" s="48">
        <v>38.284176460786348</v>
      </c>
      <c r="H22" s="48">
        <v>19.948836252258999</v>
      </c>
      <c r="I22" s="48">
        <v>44.262006140336403</v>
      </c>
      <c r="J22" s="48">
        <v>0.59074652678840001</v>
      </c>
      <c r="K22" s="48">
        <v>356.07445952500001</v>
      </c>
      <c r="L22" s="48">
        <f t="shared" si="11"/>
        <v>357.59456864992967</v>
      </c>
      <c r="M22" s="48">
        <v>93.52</v>
      </c>
      <c r="N22" s="48">
        <v>44.7</v>
      </c>
      <c r="O22" s="58">
        <f t="shared" si="0"/>
        <v>2.2350000000000002E-2</v>
      </c>
      <c r="P22" s="48">
        <v>1</v>
      </c>
      <c r="Q22" s="57">
        <f t="shared" si="12"/>
        <v>0.99932030064979271</v>
      </c>
      <c r="R22" s="57">
        <v>-7.7000000000000002E-3</v>
      </c>
      <c r="S22" s="57">
        <f t="shared" si="13"/>
        <v>1.0027964105829241</v>
      </c>
      <c r="T22" s="48">
        <f t="shared" si="14"/>
        <v>0.59199584375451519</v>
      </c>
      <c r="U22" s="49">
        <f t="shared" si="1"/>
        <v>-8.463643191229607E-2</v>
      </c>
      <c r="V22" s="6">
        <v>0.35</v>
      </c>
      <c r="W22" s="190">
        <f t="shared" ref="W22" si="33">AVERAGE(U22:U24)</f>
        <v>-5.4006012090092793E-2</v>
      </c>
      <c r="X22" s="188">
        <f t="shared" ref="X22" si="34">STDEV(U22:U24)</f>
        <v>2.9165464904703294E-2</v>
      </c>
      <c r="Y22" s="188">
        <f t="shared" ref="Y22" si="35">COUNT(V22:V24)</f>
        <v>3</v>
      </c>
      <c r="Z22" s="185">
        <f t="shared" ref="Z22" si="36">TINV(0.05,Y22-1)</f>
        <v>4.3026527297494637</v>
      </c>
      <c r="AA22" s="185">
        <f t="shared" ref="AA22" si="37">X22*Z22/SQRT(Y22)</f>
        <v>7.2451031250504228E-2</v>
      </c>
      <c r="AB22" s="188">
        <f t="shared" ref="AB22" si="38">AVERAGE(V22:V24)</f>
        <v>0.34999999999999992</v>
      </c>
      <c r="AC22" s="188">
        <f t="shared" ref="AC22" si="39">SQRT(AA22^2+AB22^2)</f>
        <v>0.35742013363723857</v>
      </c>
      <c r="AD22" s="189">
        <f t="shared" ref="AD22" si="40">AVERAGE(F22:F24)</f>
        <v>0.59219632703919101</v>
      </c>
      <c r="AF22" s="52">
        <f t="shared" si="9"/>
        <v>48.047697831304781</v>
      </c>
      <c r="AG22" s="187">
        <f t="shared" ref="AG22" si="41">AVERAGE(AF22:AF24)</f>
        <v>48.045821069101429</v>
      </c>
    </row>
    <row r="23" spans="3:33" x14ac:dyDescent="0.25">
      <c r="C23" s="11" t="s">
        <v>117</v>
      </c>
      <c r="D23" s="50">
        <v>45482.489699074104</v>
      </c>
      <c r="E23" s="10">
        <v>15</v>
      </c>
      <c r="F23" s="48">
        <v>0.59215975080684502</v>
      </c>
      <c r="G23" s="48">
        <v>38.277147043943565</v>
      </c>
      <c r="H23" s="48">
        <v>19.941677101151001</v>
      </c>
      <c r="I23" s="48">
        <v>44.255045192407202</v>
      </c>
      <c r="J23" s="48">
        <v>0.59061016146776202</v>
      </c>
      <c r="K23" s="48">
        <v>356.06804475000001</v>
      </c>
      <c r="L23" s="48">
        <f t="shared" si="11"/>
        <v>357.59020137024652</v>
      </c>
      <c r="M23" s="48">
        <v>93.52</v>
      </c>
      <c r="N23" s="48">
        <v>44.7</v>
      </c>
      <c r="O23" s="58">
        <f t="shared" si="0"/>
        <v>2.2350000000000002E-2</v>
      </c>
      <c r="P23" s="48">
        <v>1</v>
      </c>
      <c r="Q23" s="57">
        <f t="shared" si="12"/>
        <v>0.99932027617585284</v>
      </c>
      <c r="R23" s="57">
        <v>-7.7000000000000002E-3</v>
      </c>
      <c r="S23" s="57">
        <f t="shared" si="13"/>
        <v>1.0027958662866914</v>
      </c>
      <c r="T23" s="48">
        <f t="shared" si="14"/>
        <v>0.59185885430370755</v>
      </c>
      <c r="U23" s="49">
        <f t="shared" si="1"/>
        <v>-5.0813400054205926E-2</v>
      </c>
      <c r="V23" s="6">
        <v>0.35</v>
      </c>
      <c r="W23" s="190"/>
      <c r="X23" s="188"/>
      <c r="Y23" s="188"/>
      <c r="Z23" s="185"/>
      <c r="AA23" s="185"/>
      <c r="AB23" s="188"/>
      <c r="AC23" s="188"/>
      <c r="AD23" s="189"/>
      <c r="AF23" s="52">
        <f t="shared" si="9"/>
        <v>48.044162468706119</v>
      </c>
      <c r="AG23" s="187"/>
    </row>
    <row r="24" spans="3:33" x14ac:dyDescent="0.25">
      <c r="C24" s="11" t="s">
        <v>117</v>
      </c>
      <c r="D24" s="50">
        <v>45482.503043981502</v>
      </c>
      <c r="E24" s="10">
        <v>16</v>
      </c>
      <c r="F24" s="48">
        <v>0.59193191797187295</v>
      </c>
      <c r="G24" s="48">
        <v>38.282590476505092</v>
      </c>
      <c r="H24" s="48">
        <v>20.026139912559</v>
      </c>
      <c r="I24" s="48">
        <v>44.247394203673103</v>
      </c>
      <c r="J24" s="48">
        <v>0.59052575877559799</v>
      </c>
      <c r="K24" s="48">
        <v>356.12577168399997</v>
      </c>
      <c r="L24" s="48">
        <f t="shared" si="11"/>
        <v>357.64172261844499</v>
      </c>
      <c r="M24" s="48">
        <v>93.52</v>
      </c>
      <c r="N24" s="48">
        <v>44.7</v>
      </c>
      <c r="O24" s="58">
        <f t="shared" si="0"/>
        <v>2.2350000000000002E-2</v>
      </c>
      <c r="P24" s="48">
        <v>1</v>
      </c>
      <c r="Q24" s="57">
        <f t="shared" si="12"/>
        <v>0.99932049637070974</v>
      </c>
      <c r="R24" s="57">
        <v>-7.7000000000000002E-3</v>
      </c>
      <c r="S24" s="57">
        <f t="shared" si="13"/>
        <v>1.0027962877781949</v>
      </c>
      <c r="T24" s="48">
        <f t="shared" si="14"/>
        <v>0.59177465229056692</v>
      </c>
      <c r="U24" s="49">
        <f t="shared" si="1"/>
        <v>-2.6568204303776367E-2</v>
      </c>
      <c r="V24" s="6">
        <v>0.35</v>
      </c>
      <c r="W24" s="190"/>
      <c r="X24" s="188"/>
      <c r="Y24" s="188"/>
      <c r="Z24" s="185"/>
      <c r="AA24" s="185"/>
      <c r="AB24" s="188"/>
      <c r="AC24" s="188"/>
      <c r="AD24" s="189"/>
      <c r="AF24" s="52">
        <f t="shared" si="9"/>
        <v>48.045602907293379</v>
      </c>
      <c r="AG24" s="187"/>
    </row>
    <row r="25" spans="3:33" x14ac:dyDescent="0.25">
      <c r="C25" s="11" t="s">
        <v>117</v>
      </c>
      <c r="D25" s="50">
        <v>45482.517361111102</v>
      </c>
      <c r="E25" s="10">
        <v>17</v>
      </c>
      <c r="F25" s="48">
        <v>0.30287625637841398</v>
      </c>
      <c r="G25" s="48">
        <v>38.280807077239771</v>
      </c>
      <c r="H25" s="48">
        <v>20.001442925327002</v>
      </c>
      <c r="I25" s="48">
        <v>44.249408711243397</v>
      </c>
      <c r="J25" s="48">
        <v>0.30135972308386799</v>
      </c>
      <c r="K25" s="48">
        <v>356.10653088399999</v>
      </c>
      <c r="L25" s="48">
        <f t="shared" si="11"/>
        <v>357.62665853600907</v>
      </c>
      <c r="M25" s="48">
        <v>93.52</v>
      </c>
      <c r="N25" s="48">
        <v>44.7</v>
      </c>
      <c r="O25" s="58">
        <f t="shared" si="0"/>
        <v>2.2350000000000002E-2</v>
      </c>
      <c r="P25" s="48">
        <v>1</v>
      </c>
      <c r="Q25" s="57">
        <f t="shared" si="12"/>
        <v>0.99932042299007573</v>
      </c>
      <c r="R25" s="57">
        <v>-7.7000000000000002E-3</v>
      </c>
      <c r="S25" s="57">
        <f t="shared" si="13"/>
        <v>1.0027961496874145</v>
      </c>
      <c r="T25" s="48">
        <f t="shared" si="14"/>
        <v>0.30199700019638565</v>
      </c>
      <c r="U25" s="49">
        <f t="shared" si="1"/>
        <v>-0.29030211629722075</v>
      </c>
      <c r="V25" s="6">
        <v>0.35</v>
      </c>
      <c r="W25" s="190">
        <f>AVERAGE(U25:U27)</f>
        <v>-0.2126227185553359</v>
      </c>
      <c r="X25" s="188">
        <f t="shared" ref="X25" si="42">STDEV(U25:U27)</f>
        <v>6.7698369114902041E-2</v>
      </c>
      <c r="Y25" s="188">
        <f t="shared" ref="Y25" si="43">COUNT(V25:V27)</f>
        <v>3</v>
      </c>
      <c r="Z25" s="185">
        <f t="shared" ref="Z25" si="44">TINV(0.05,Y25-1)</f>
        <v>4.3026527297494637</v>
      </c>
      <c r="AA25" s="185">
        <f t="shared" ref="AA25" si="45">X25*Z25/SQRT(Y25)</f>
        <v>0.16817207174232204</v>
      </c>
      <c r="AB25" s="188">
        <f t="shared" ref="AB25" si="46">AVERAGE(V25:V27)</f>
        <v>0.34999999999999992</v>
      </c>
      <c r="AC25" s="188">
        <f t="shared" ref="AC25" si="47">SQRT(AA25^2+AB25^2)</f>
        <v>0.38830638124309091</v>
      </c>
      <c r="AD25" s="189">
        <f t="shared" ref="AD25" si="48">AVERAGE(F25:F27)</f>
        <v>0.30246146198523566</v>
      </c>
      <c r="AF25" s="52">
        <f t="shared" si="9"/>
        <v>24.51772881715959</v>
      </c>
      <c r="AG25" s="187">
        <f t="shared" ref="AG25" si="49">AVERAGE(AF25:AF27)</f>
        <v>24.505108351986298</v>
      </c>
    </row>
    <row r="26" spans="3:33" x14ac:dyDescent="0.25">
      <c r="C26" s="11" t="s">
        <v>117</v>
      </c>
      <c r="D26" s="50">
        <v>45482.5311574074</v>
      </c>
      <c r="E26" s="10">
        <v>18</v>
      </c>
      <c r="F26" s="48">
        <v>0.30232710005029201</v>
      </c>
      <c r="G26" s="48">
        <v>38.27422164972819</v>
      </c>
      <c r="H26" s="48">
        <v>19.973318579263999</v>
      </c>
      <c r="I26" s="48">
        <v>44.246426958092002</v>
      </c>
      <c r="J26" s="48">
        <v>0.301142142598123</v>
      </c>
      <c r="K26" s="48">
        <v>356.08495245300003</v>
      </c>
      <c r="L26" s="48">
        <f t="shared" si="11"/>
        <v>357.60950314176375</v>
      </c>
      <c r="M26" s="48">
        <v>93.52</v>
      </c>
      <c r="N26" s="48">
        <v>44.7</v>
      </c>
      <c r="O26" s="58">
        <f t="shared" si="0"/>
        <v>2.2350000000000002E-2</v>
      </c>
      <c r="P26" s="48">
        <v>1</v>
      </c>
      <c r="Q26" s="57">
        <f t="shared" si="12"/>
        <v>0.99932034068003794</v>
      </c>
      <c r="R26" s="57">
        <v>-7.7000000000000002E-3</v>
      </c>
      <c r="S26" s="57">
        <f t="shared" si="13"/>
        <v>1.0027956397700593</v>
      </c>
      <c r="T26" s="48">
        <f t="shared" si="14"/>
        <v>0.30177878128960817</v>
      </c>
      <c r="U26" s="49">
        <f t="shared" si="1"/>
        <v>-0.18136606364187288</v>
      </c>
      <c r="V26" s="6">
        <v>0.35</v>
      </c>
      <c r="W26" s="190"/>
      <c r="X26" s="188"/>
      <c r="Y26" s="188"/>
      <c r="Z26" s="185"/>
      <c r="AA26" s="185"/>
      <c r="AB26" s="188"/>
      <c r="AC26" s="188"/>
      <c r="AD26" s="189"/>
      <c r="AF26" s="52">
        <f t="shared" si="9"/>
        <v>24.501678166692628</v>
      </c>
      <c r="AG26" s="187"/>
    </row>
    <row r="27" spans="3:33" x14ac:dyDescent="0.25">
      <c r="C27" s="11" t="s">
        <v>117</v>
      </c>
      <c r="D27" s="50">
        <v>45482.544305555602</v>
      </c>
      <c r="E27" s="10">
        <v>19</v>
      </c>
      <c r="F27" s="48">
        <v>0.30218102952700099</v>
      </c>
      <c r="G27" s="48">
        <v>38.268872942144164</v>
      </c>
      <c r="H27" s="48">
        <v>19.961466239587999</v>
      </c>
      <c r="I27" s="48">
        <v>44.242188758173803</v>
      </c>
      <c r="J27" s="48">
        <v>0.30104250865302901</v>
      </c>
      <c r="K27" s="48">
        <v>356.078538095</v>
      </c>
      <c r="L27" s="48">
        <f t="shared" si="11"/>
        <v>357.60227316059115</v>
      </c>
      <c r="M27" s="48">
        <v>93.52</v>
      </c>
      <c r="N27" s="48">
        <v>44.7</v>
      </c>
      <c r="O27" s="58">
        <f t="shared" si="0"/>
        <v>2.2350000000000002E-2</v>
      </c>
      <c r="P27" s="48">
        <v>1</v>
      </c>
      <c r="Q27" s="57">
        <f t="shared" si="12"/>
        <v>0.99932031620985051</v>
      </c>
      <c r="R27" s="57">
        <v>-7.7000000000000002E-3</v>
      </c>
      <c r="S27" s="57">
        <f t="shared" si="13"/>
        <v>1.0027952256137564</v>
      </c>
      <c r="T27" s="48">
        <f t="shared" si="14"/>
        <v>0.30167880472927577</v>
      </c>
      <c r="U27" s="49">
        <f t="shared" si="1"/>
        <v>-0.16619997572691411</v>
      </c>
      <c r="V27" s="6">
        <v>0.35</v>
      </c>
      <c r="W27" s="190"/>
      <c r="X27" s="188"/>
      <c r="Y27" s="188"/>
      <c r="Z27" s="185"/>
      <c r="AA27" s="185"/>
      <c r="AB27" s="188"/>
      <c r="AC27" s="188"/>
      <c r="AD27" s="189"/>
      <c r="AF27" s="52">
        <f t="shared" si="9"/>
        <v>24.495918072106676</v>
      </c>
      <c r="AG27" s="187"/>
    </row>
  </sheetData>
  <mergeCells count="46">
    <mergeCell ref="AB25:AB27"/>
    <mergeCell ref="AC25:AC27"/>
    <mergeCell ref="AD25:AD27"/>
    <mergeCell ref="AG25:AG27"/>
    <mergeCell ref="W25:W27"/>
    <mergeCell ref="X25:X27"/>
    <mergeCell ref="Y25:Y27"/>
    <mergeCell ref="Z25:Z27"/>
    <mergeCell ref="AA25:AA27"/>
    <mergeCell ref="AD19:AD21"/>
    <mergeCell ref="AG19:AG21"/>
    <mergeCell ref="W22:W24"/>
    <mergeCell ref="X22:X24"/>
    <mergeCell ref="Y22:Y24"/>
    <mergeCell ref="Z22:Z24"/>
    <mergeCell ref="AA22:AA24"/>
    <mergeCell ref="AB22:AB24"/>
    <mergeCell ref="AC22:AC24"/>
    <mergeCell ref="AD22:AD24"/>
    <mergeCell ref="AG22:AG24"/>
    <mergeCell ref="AC16:AC18"/>
    <mergeCell ref="AD16:AD18"/>
    <mergeCell ref="AG16:AG18"/>
    <mergeCell ref="W19:W21"/>
    <mergeCell ref="X19:X21"/>
    <mergeCell ref="Y19:Y21"/>
    <mergeCell ref="Z19:Z21"/>
    <mergeCell ref="AA19:AA21"/>
    <mergeCell ref="AB19:AB21"/>
    <mergeCell ref="AC19:AC21"/>
    <mergeCell ref="W16:W18"/>
    <mergeCell ref="X16:X18"/>
    <mergeCell ref="Y16:Y18"/>
    <mergeCell ref="Z16:Z18"/>
    <mergeCell ref="AA16:AA18"/>
    <mergeCell ref="AB16:AB18"/>
    <mergeCell ref="AB13:AB15"/>
    <mergeCell ref="AC13:AC15"/>
    <mergeCell ref="AD13:AD15"/>
    <mergeCell ref="AG13:AG15"/>
    <mergeCell ref="C2:AD3"/>
    <mergeCell ref="W13:W15"/>
    <mergeCell ref="X13:X15"/>
    <mergeCell ref="Y13:Y15"/>
    <mergeCell ref="Z13:Z15"/>
    <mergeCell ref="AA13:AA15"/>
  </mergeCells>
  <phoneticPr fontId="14" type="noConversion"/>
  <conditionalFormatting sqref="F13:F27"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5AA0-D484-4946-807A-C95171703D1D}">
  <sheetPr codeName="Sheet9"/>
  <dimension ref="C8:F21"/>
  <sheetViews>
    <sheetView workbookViewId="0">
      <selection activeCell="C14" sqref="C14"/>
    </sheetView>
  </sheetViews>
  <sheetFormatPr defaultRowHeight="15" x14ac:dyDescent="0.25"/>
  <sheetData>
    <row r="8" spans="3:6" x14ac:dyDescent="0.25">
      <c r="C8" s="22">
        <v>0</v>
      </c>
      <c r="D8">
        <v>1</v>
      </c>
      <c r="E8">
        <v>1.2</v>
      </c>
    </row>
    <row r="9" spans="3:6" x14ac:dyDescent="0.25">
      <c r="C9" s="22">
        <v>11</v>
      </c>
      <c r="D9">
        <v>1</v>
      </c>
      <c r="E9">
        <v>1.2</v>
      </c>
    </row>
    <row r="12" spans="3:6" x14ac:dyDescent="0.25">
      <c r="C12" t="s">
        <v>49</v>
      </c>
    </row>
    <row r="13" spans="3:6" x14ac:dyDescent="0.25">
      <c r="C13" s="41">
        <v>8.5</v>
      </c>
      <c r="D13">
        <v>0</v>
      </c>
      <c r="E13" s="13">
        <f>Data!AC9</f>
        <v>0.35968373006967252</v>
      </c>
      <c r="F13" t="s">
        <v>32</v>
      </c>
    </row>
    <row r="14" spans="3:6" x14ac:dyDescent="0.25">
      <c r="C14" s="41">
        <f>C13+0.5</f>
        <v>9</v>
      </c>
      <c r="D14">
        <v>0</v>
      </c>
      <c r="E14" s="13">
        <f>Data!BI9</f>
        <v>0.28780447001045129</v>
      </c>
      <c r="F14" t="s">
        <v>31</v>
      </c>
    </row>
    <row r="15" spans="3:6" x14ac:dyDescent="0.25">
      <c r="C15" s="41">
        <f>C14+0.5</f>
        <v>9.5</v>
      </c>
      <c r="D15">
        <v>0</v>
      </c>
      <c r="E15" s="13">
        <f>Data!CO9</f>
        <v>0.27572503983825764</v>
      </c>
      <c r="F15" t="s">
        <v>34</v>
      </c>
    </row>
    <row r="16" spans="3:6" x14ac:dyDescent="0.25">
      <c r="C16" s="22"/>
    </row>
    <row r="17" spans="3:6" x14ac:dyDescent="0.25">
      <c r="C17" t="s">
        <v>50</v>
      </c>
    </row>
    <row r="18" spans="3:6" x14ac:dyDescent="0.25">
      <c r="C18" s="41">
        <v>450</v>
      </c>
      <c r="D18">
        <v>0</v>
      </c>
      <c r="E18" s="13">
        <f>Data!AC14</f>
        <v>0</v>
      </c>
      <c r="F18" t="s">
        <v>32</v>
      </c>
    </row>
    <row r="19" spans="3:6" x14ac:dyDescent="0.25">
      <c r="C19" s="41">
        <f>C18+20</f>
        <v>470</v>
      </c>
      <c r="D19">
        <v>0</v>
      </c>
      <c r="E19" s="13">
        <f>Data!BI14</f>
        <v>0</v>
      </c>
      <c r="F19" t="s">
        <v>31</v>
      </c>
    </row>
    <row r="20" spans="3:6" x14ac:dyDescent="0.25">
      <c r="C20" s="41">
        <f>C19+20</f>
        <v>490</v>
      </c>
      <c r="D20">
        <v>0</v>
      </c>
      <c r="E20" s="13">
        <f>Data!CO14</f>
        <v>0</v>
      </c>
      <c r="F20" t="s">
        <v>34</v>
      </c>
    </row>
    <row r="21" spans="3:6" x14ac:dyDescent="0.25">
      <c r="C21" s="22"/>
      <c r="E21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7F203-499D-4CFF-B553-6BFBFB3726B6}">
  <sheetPr codeName="Sheet10"/>
  <dimension ref="B1:G358"/>
  <sheetViews>
    <sheetView tabSelected="1" zoomScale="85" zoomScaleNormal="85" workbookViewId="0">
      <selection sqref="A1:XFD1"/>
    </sheetView>
  </sheetViews>
  <sheetFormatPr defaultColWidth="9.140625" defaultRowHeight="15" x14ac:dyDescent="0.25"/>
  <cols>
    <col min="1" max="2" width="9.140625" style="59"/>
    <col min="3" max="3" width="14.7109375" style="59" customWidth="1"/>
    <col min="4" max="4" width="12.85546875" style="59" customWidth="1"/>
    <col min="5" max="5" width="15.140625" style="59" customWidth="1"/>
    <col min="6" max="6" width="15.42578125" style="59" customWidth="1"/>
    <col min="7" max="16384" width="9.140625" style="59"/>
  </cols>
  <sheetData>
    <row r="1" spans="2:7" x14ac:dyDescent="0.25">
      <c r="D1" s="59" t="s">
        <v>111</v>
      </c>
    </row>
    <row r="2" spans="2:7" x14ac:dyDescent="0.25">
      <c r="B2" s="59" t="s">
        <v>115</v>
      </c>
      <c r="C2" s="59" t="s">
        <v>114</v>
      </c>
      <c r="D2" s="64">
        <v>4.4000000000000004</v>
      </c>
      <c r="E2" s="59" t="s">
        <v>113</v>
      </c>
      <c r="F2" s="65">
        <f>D2/3600</f>
        <v>1.2222222222222224E-3</v>
      </c>
      <c r="G2" s="59" t="s">
        <v>38</v>
      </c>
    </row>
    <row r="4" spans="2:7" x14ac:dyDescent="0.25">
      <c r="B4" s="59" t="s">
        <v>112</v>
      </c>
      <c r="C4" s="64">
        <v>0.25</v>
      </c>
      <c r="D4" s="59" t="s">
        <v>111</v>
      </c>
    </row>
    <row r="5" spans="2:7" x14ac:dyDescent="0.25">
      <c r="B5" s="59" t="s">
        <v>110</v>
      </c>
      <c r="C5" s="59" t="s">
        <v>109</v>
      </c>
      <c r="D5" s="59" t="s">
        <v>108</v>
      </c>
      <c r="E5" s="63" t="s">
        <v>107</v>
      </c>
      <c r="F5" s="59" t="s">
        <v>106</v>
      </c>
    </row>
    <row r="6" spans="2:7" x14ac:dyDescent="0.25">
      <c r="B6" s="59">
        <v>0.05</v>
      </c>
      <c r="C6" s="59">
        <f t="shared" ref="C6:C69" si="0">$C$4</f>
        <v>0.25</v>
      </c>
      <c r="D6" s="62">
        <f t="shared" ref="D6:D69" si="1">$F$2/B6*100</f>
        <v>2.4444444444444446</v>
      </c>
      <c r="E6" s="61">
        <f t="shared" ref="E6:E69" si="2">C6+D6</f>
        <v>2.6944444444444446</v>
      </c>
      <c r="F6" s="60">
        <f t="shared" ref="F6:F69" si="3">E6*-1</f>
        <v>-2.6944444444444446</v>
      </c>
    </row>
    <row r="7" spans="2:7" x14ac:dyDescent="0.25">
      <c r="B7" s="59">
        <v>7.0000000000000007E-2</v>
      </c>
      <c r="C7" s="59">
        <f t="shared" si="0"/>
        <v>0.25</v>
      </c>
      <c r="D7" s="62">
        <f t="shared" si="1"/>
        <v>1.746031746031746</v>
      </c>
      <c r="E7" s="61">
        <f t="shared" si="2"/>
        <v>1.996031746031746</v>
      </c>
      <c r="F7" s="60">
        <f t="shared" si="3"/>
        <v>-1.996031746031746</v>
      </c>
    </row>
    <row r="8" spans="2:7" x14ac:dyDescent="0.25">
      <c r="B8" s="59">
        <v>0.1</v>
      </c>
      <c r="C8" s="59">
        <f t="shared" si="0"/>
        <v>0.25</v>
      </c>
      <c r="D8" s="62">
        <f t="shared" si="1"/>
        <v>1.2222222222222223</v>
      </c>
      <c r="E8" s="61">
        <f t="shared" si="2"/>
        <v>1.4722222222222223</v>
      </c>
      <c r="F8" s="60">
        <f t="shared" si="3"/>
        <v>-1.4722222222222223</v>
      </c>
    </row>
    <row r="9" spans="2:7" x14ac:dyDescent="0.25">
      <c r="B9" s="59">
        <v>0.15</v>
      </c>
      <c r="C9" s="59">
        <f t="shared" si="0"/>
        <v>0.25</v>
      </c>
      <c r="D9" s="62">
        <f t="shared" si="1"/>
        <v>0.81481481481481488</v>
      </c>
      <c r="E9" s="61">
        <f t="shared" si="2"/>
        <v>1.0648148148148149</v>
      </c>
      <c r="F9" s="60">
        <f t="shared" si="3"/>
        <v>-1.0648148148148149</v>
      </c>
    </row>
    <row r="10" spans="2:7" x14ac:dyDescent="0.25">
      <c r="B10" s="59">
        <v>0.2</v>
      </c>
      <c r="C10" s="59">
        <f t="shared" si="0"/>
        <v>0.25</v>
      </c>
      <c r="D10" s="62">
        <f t="shared" si="1"/>
        <v>0.61111111111111116</v>
      </c>
      <c r="E10" s="61">
        <f t="shared" si="2"/>
        <v>0.86111111111111116</v>
      </c>
      <c r="F10" s="60">
        <f t="shared" si="3"/>
        <v>-0.86111111111111116</v>
      </c>
    </row>
    <row r="11" spans="2:7" x14ac:dyDescent="0.25">
      <c r="B11" s="59">
        <v>0.25</v>
      </c>
      <c r="C11" s="59">
        <f t="shared" si="0"/>
        <v>0.25</v>
      </c>
      <c r="D11" s="62">
        <f t="shared" si="1"/>
        <v>0.48888888888888898</v>
      </c>
      <c r="E11" s="61">
        <f t="shared" si="2"/>
        <v>0.73888888888888893</v>
      </c>
      <c r="F11" s="60">
        <f t="shared" si="3"/>
        <v>-0.73888888888888893</v>
      </c>
    </row>
    <row r="12" spans="2:7" x14ac:dyDescent="0.25">
      <c r="B12" s="59">
        <v>0.3</v>
      </c>
      <c r="C12" s="59">
        <f t="shared" si="0"/>
        <v>0.25</v>
      </c>
      <c r="D12" s="62">
        <f t="shared" si="1"/>
        <v>0.40740740740740744</v>
      </c>
      <c r="E12" s="61">
        <f t="shared" si="2"/>
        <v>0.65740740740740744</v>
      </c>
      <c r="F12" s="60">
        <f t="shared" si="3"/>
        <v>-0.65740740740740744</v>
      </c>
    </row>
    <row r="13" spans="2:7" x14ac:dyDescent="0.25">
      <c r="B13" s="59">
        <v>0.35</v>
      </c>
      <c r="C13" s="59">
        <f t="shared" si="0"/>
        <v>0.25</v>
      </c>
      <c r="D13" s="62">
        <f t="shared" si="1"/>
        <v>0.3492063492063493</v>
      </c>
      <c r="E13" s="61">
        <f t="shared" si="2"/>
        <v>0.5992063492063493</v>
      </c>
      <c r="F13" s="60">
        <f t="shared" si="3"/>
        <v>-0.5992063492063493</v>
      </c>
    </row>
    <row r="14" spans="2:7" x14ac:dyDescent="0.25">
      <c r="B14" s="59">
        <v>0.4</v>
      </c>
      <c r="C14" s="59">
        <f t="shared" si="0"/>
        <v>0.25</v>
      </c>
      <c r="D14" s="62">
        <f t="shared" si="1"/>
        <v>0.30555555555555558</v>
      </c>
      <c r="E14" s="61">
        <f t="shared" si="2"/>
        <v>0.55555555555555558</v>
      </c>
      <c r="F14" s="60">
        <f t="shared" si="3"/>
        <v>-0.55555555555555558</v>
      </c>
    </row>
    <row r="15" spans="2:7" x14ac:dyDescent="0.25">
      <c r="B15" s="59">
        <v>0.45</v>
      </c>
      <c r="C15" s="59">
        <f t="shared" si="0"/>
        <v>0.25</v>
      </c>
      <c r="D15" s="62">
        <f t="shared" si="1"/>
        <v>0.27160493827160498</v>
      </c>
      <c r="E15" s="61">
        <f t="shared" si="2"/>
        <v>0.52160493827160503</v>
      </c>
      <c r="F15" s="60">
        <f t="shared" si="3"/>
        <v>-0.52160493827160503</v>
      </c>
    </row>
    <row r="16" spans="2:7" x14ac:dyDescent="0.25">
      <c r="B16" s="59">
        <v>0.5</v>
      </c>
      <c r="C16" s="59">
        <f t="shared" si="0"/>
        <v>0.25</v>
      </c>
      <c r="D16" s="62">
        <f t="shared" si="1"/>
        <v>0.24444444444444449</v>
      </c>
      <c r="E16" s="61">
        <f t="shared" si="2"/>
        <v>0.49444444444444446</v>
      </c>
      <c r="F16" s="60">
        <f t="shared" si="3"/>
        <v>-0.49444444444444446</v>
      </c>
    </row>
    <row r="17" spans="2:6" x14ac:dyDescent="0.25">
      <c r="B17" s="59">
        <v>0.55000000000000004</v>
      </c>
      <c r="C17" s="59">
        <f t="shared" si="0"/>
        <v>0.25</v>
      </c>
      <c r="D17" s="62">
        <f t="shared" si="1"/>
        <v>0.22222222222222221</v>
      </c>
      <c r="E17" s="61">
        <f t="shared" si="2"/>
        <v>0.47222222222222221</v>
      </c>
      <c r="F17" s="60">
        <f t="shared" si="3"/>
        <v>-0.47222222222222221</v>
      </c>
    </row>
    <row r="18" spans="2:6" x14ac:dyDescent="0.25">
      <c r="B18" s="59">
        <v>0.6</v>
      </c>
      <c r="C18" s="59">
        <f t="shared" si="0"/>
        <v>0.25</v>
      </c>
      <c r="D18" s="62">
        <f t="shared" si="1"/>
        <v>0.20370370370370372</v>
      </c>
      <c r="E18" s="61">
        <f t="shared" si="2"/>
        <v>0.45370370370370372</v>
      </c>
      <c r="F18" s="60">
        <f t="shared" si="3"/>
        <v>-0.45370370370370372</v>
      </c>
    </row>
    <row r="19" spans="2:6" x14ac:dyDescent="0.25">
      <c r="B19" s="59">
        <v>0.65</v>
      </c>
      <c r="C19" s="59">
        <f t="shared" si="0"/>
        <v>0.25</v>
      </c>
      <c r="D19" s="62">
        <f t="shared" si="1"/>
        <v>0.18803418803418806</v>
      </c>
      <c r="E19" s="61">
        <f t="shared" si="2"/>
        <v>0.43803418803418803</v>
      </c>
      <c r="F19" s="60">
        <f t="shared" si="3"/>
        <v>-0.43803418803418803</v>
      </c>
    </row>
    <row r="20" spans="2:6" x14ac:dyDescent="0.25">
      <c r="B20" s="59">
        <v>0.7</v>
      </c>
      <c r="C20" s="59">
        <f t="shared" si="0"/>
        <v>0.25</v>
      </c>
      <c r="D20" s="62">
        <f t="shared" si="1"/>
        <v>0.17460317460317465</v>
      </c>
      <c r="E20" s="61">
        <f t="shared" si="2"/>
        <v>0.42460317460317465</v>
      </c>
      <c r="F20" s="60">
        <f t="shared" si="3"/>
        <v>-0.42460317460317465</v>
      </c>
    </row>
    <row r="21" spans="2:6" x14ac:dyDescent="0.25">
      <c r="B21" s="59">
        <v>0.75</v>
      </c>
      <c r="C21" s="59">
        <f t="shared" si="0"/>
        <v>0.25</v>
      </c>
      <c r="D21" s="62">
        <f t="shared" si="1"/>
        <v>0.162962962962963</v>
      </c>
      <c r="E21" s="61">
        <f t="shared" si="2"/>
        <v>0.41296296296296298</v>
      </c>
      <c r="F21" s="60">
        <f t="shared" si="3"/>
        <v>-0.41296296296296298</v>
      </c>
    </row>
    <row r="22" spans="2:6" x14ac:dyDescent="0.25">
      <c r="B22" s="59">
        <v>0.8</v>
      </c>
      <c r="C22" s="59">
        <f t="shared" si="0"/>
        <v>0.25</v>
      </c>
      <c r="D22" s="62">
        <f t="shared" si="1"/>
        <v>0.15277777777777779</v>
      </c>
      <c r="E22" s="61">
        <f t="shared" si="2"/>
        <v>0.40277777777777779</v>
      </c>
      <c r="F22" s="60">
        <f t="shared" si="3"/>
        <v>-0.40277777777777779</v>
      </c>
    </row>
    <row r="23" spans="2:6" x14ac:dyDescent="0.25">
      <c r="B23" s="59">
        <v>0.85</v>
      </c>
      <c r="C23" s="59">
        <f t="shared" si="0"/>
        <v>0.25</v>
      </c>
      <c r="D23" s="62">
        <f t="shared" si="1"/>
        <v>0.14379084967320266</v>
      </c>
      <c r="E23" s="61">
        <f t="shared" si="2"/>
        <v>0.39379084967320266</v>
      </c>
      <c r="F23" s="60">
        <f t="shared" si="3"/>
        <v>-0.39379084967320266</v>
      </c>
    </row>
    <row r="24" spans="2:6" x14ac:dyDescent="0.25">
      <c r="B24" s="59">
        <v>0.9</v>
      </c>
      <c r="C24" s="59">
        <f t="shared" si="0"/>
        <v>0.25</v>
      </c>
      <c r="D24" s="62">
        <f t="shared" si="1"/>
        <v>0.13580246913580249</v>
      </c>
      <c r="E24" s="61">
        <f t="shared" si="2"/>
        <v>0.38580246913580252</v>
      </c>
      <c r="F24" s="60">
        <f t="shared" si="3"/>
        <v>-0.38580246913580252</v>
      </c>
    </row>
    <row r="25" spans="2:6" x14ac:dyDescent="0.25">
      <c r="B25" s="59">
        <v>0.95</v>
      </c>
      <c r="C25" s="59">
        <f t="shared" si="0"/>
        <v>0.25</v>
      </c>
      <c r="D25" s="62">
        <f t="shared" si="1"/>
        <v>0.12865497076023394</v>
      </c>
      <c r="E25" s="61">
        <f t="shared" si="2"/>
        <v>0.37865497076023391</v>
      </c>
      <c r="F25" s="60">
        <f t="shared" si="3"/>
        <v>-0.37865497076023391</v>
      </c>
    </row>
    <row r="26" spans="2:6" x14ac:dyDescent="0.25">
      <c r="B26" s="59">
        <v>1</v>
      </c>
      <c r="C26" s="59">
        <f t="shared" si="0"/>
        <v>0.25</v>
      </c>
      <c r="D26" s="62">
        <f t="shared" si="1"/>
        <v>0.12222222222222225</v>
      </c>
      <c r="E26" s="61">
        <f t="shared" si="2"/>
        <v>0.37222222222222223</v>
      </c>
      <c r="F26" s="60">
        <f t="shared" si="3"/>
        <v>-0.37222222222222223</v>
      </c>
    </row>
    <row r="27" spans="2:6" x14ac:dyDescent="0.25">
      <c r="B27" s="59">
        <v>1.05</v>
      </c>
      <c r="C27" s="59">
        <f t="shared" si="0"/>
        <v>0.25</v>
      </c>
      <c r="D27" s="62">
        <f t="shared" si="1"/>
        <v>0.11640211640211642</v>
      </c>
      <c r="E27" s="61">
        <f t="shared" si="2"/>
        <v>0.3664021164021164</v>
      </c>
      <c r="F27" s="60">
        <f t="shared" si="3"/>
        <v>-0.3664021164021164</v>
      </c>
    </row>
    <row r="28" spans="2:6" x14ac:dyDescent="0.25">
      <c r="B28" s="59">
        <v>1.1000000000000001</v>
      </c>
      <c r="C28" s="59">
        <f t="shared" si="0"/>
        <v>0.25</v>
      </c>
      <c r="D28" s="62">
        <f t="shared" si="1"/>
        <v>0.1111111111111111</v>
      </c>
      <c r="E28" s="61">
        <f t="shared" si="2"/>
        <v>0.3611111111111111</v>
      </c>
      <c r="F28" s="60">
        <f t="shared" si="3"/>
        <v>-0.3611111111111111</v>
      </c>
    </row>
    <row r="29" spans="2:6" x14ac:dyDescent="0.25">
      <c r="B29" s="59">
        <v>1.1499999999999999</v>
      </c>
      <c r="C29" s="59">
        <f t="shared" si="0"/>
        <v>0.25</v>
      </c>
      <c r="D29" s="62">
        <f t="shared" si="1"/>
        <v>0.106280193236715</v>
      </c>
      <c r="E29" s="61">
        <f t="shared" si="2"/>
        <v>0.356280193236715</v>
      </c>
      <c r="F29" s="60">
        <f t="shared" si="3"/>
        <v>-0.356280193236715</v>
      </c>
    </row>
    <row r="30" spans="2:6" x14ac:dyDescent="0.25">
      <c r="B30" s="59">
        <v>1.2</v>
      </c>
      <c r="C30" s="59">
        <f t="shared" si="0"/>
        <v>0.25</v>
      </c>
      <c r="D30" s="62">
        <f t="shared" si="1"/>
        <v>0.10185185185185186</v>
      </c>
      <c r="E30" s="61">
        <f t="shared" si="2"/>
        <v>0.35185185185185186</v>
      </c>
      <c r="F30" s="60">
        <f t="shared" si="3"/>
        <v>-0.35185185185185186</v>
      </c>
    </row>
    <row r="31" spans="2:6" x14ac:dyDescent="0.25">
      <c r="B31" s="59">
        <v>1.25</v>
      </c>
      <c r="C31" s="59">
        <f t="shared" si="0"/>
        <v>0.25</v>
      </c>
      <c r="D31" s="62">
        <f t="shared" si="1"/>
        <v>9.7777777777777797E-2</v>
      </c>
      <c r="E31" s="61">
        <f t="shared" si="2"/>
        <v>0.3477777777777778</v>
      </c>
      <c r="F31" s="60">
        <f t="shared" si="3"/>
        <v>-0.3477777777777778</v>
      </c>
    </row>
    <row r="32" spans="2:6" x14ac:dyDescent="0.25">
      <c r="B32" s="59">
        <v>1.3</v>
      </c>
      <c r="C32" s="59">
        <f t="shared" si="0"/>
        <v>0.25</v>
      </c>
      <c r="D32" s="62">
        <f t="shared" si="1"/>
        <v>9.401709401709403E-2</v>
      </c>
      <c r="E32" s="61">
        <f t="shared" si="2"/>
        <v>0.34401709401709402</v>
      </c>
      <c r="F32" s="60">
        <f t="shared" si="3"/>
        <v>-0.34401709401709402</v>
      </c>
    </row>
    <row r="33" spans="2:6" x14ac:dyDescent="0.25">
      <c r="B33" s="59">
        <v>1.35</v>
      </c>
      <c r="C33" s="59">
        <f t="shared" si="0"/>
        <v>0.25</v>
      </c>
      <c r="D33" s="62">
        <f t="shared" si="1"/>
        <v>9.0534979423868317E-2</v>
      </c>
      <c r="E33" s="61">
        <f t="shared" si="2"/>
        <v>0.34053497942386834</v>
      </c>
      <c r="F33" s="60">
        <f t="shared" si="3"/>
        <v>-0.34053497942386834</v>
      </c>
    </row>
    <row r="34" spans="2:6" x14ac:dyDescent="0.25">
      <c r="B34" s="59">
        <v>1.4</v>
      </c>
      <c r="C34" s="59">
        <f t="shared" si="0"/>
        <v>0.25</v>
      </c>
      <c r="D34" s="62">
        <f t="shared" si="1"/>
        <v>8.7301587301587324E-2</v>
      </c>
      <c r="E34" s="61">
        <f t="shared" si="2"/>
        <v>0.33730158730158732</v>
      </c>
      <c r="F34" s="60">
        <f t="shared" si="3"/>
        <v>-0.33730158730158732</v>
      </c>
    </row>
    <row r="35" spans="2:6" x14ac:dyDescent="0.25">
      <c r="B35" s="59">
        <v>1.45</v>
      </c>
      <c r="C35" s="59">
        <f t="shared" si="0"/>
        <v>0.25</v>
      </c>
      <c r="D35" s="62">
        <f t="shared" si="1"/>
        <v>8.4291187739463619E-2</v>
      </c>
      <c r="E35" s="61">
        <f t="shared" si="2"/>
        <v>0.33429118773946365</v>
      </c>
      <c r="F35" s="60">
        <f t="shared" si="3"/>
        <v>-0.33429118773946365</v>
      </c>
    </row>
    <row r="36" spans="2:6" x14ac:dyDescent="0.25">
      <c r="B36" s="59">
        <v>1.5</v>
      </c>
      <c r="C36" s="59">
        <f t="shared" si="0"/>
        <v>0.25</v>
      </c>
      <c r="D36" s="62">
        <f t="shared" si="1"/>
        <v>8.1481481481481502E-2</v>
      </c>
      <c r="E36" s="61">
        <f t="shared" si="2"/>
        <v>0.33148148148148149</v>
      </c>
      <c r="F36" s="60">
        <f t="shared" si="3"/>
        <v>-0.33148148148148149</v>
      </c>
    </row>
    <row r="37" spans="2:6" x14ac:dyDescent="0.25">
      <c r="B37" s="59">
        <v>1.55</v>
      </c>
      <c r="C37" s="59">
        <f t="shared" si="0"/>
        <v>0.25</v>
      </c>
      <c r="D37" s="62">
        <f t="shared" si="1"/>
        <v>7.8853046594982087E-2</v>
      </c>
      <c r="E37" s="61">
        <f t="shared" si="2"/>
        <v>0.3288530465949821</v>
      </c>
      <c r="F37" s="60">
        <f t="shared" si="3"/>
        <v>-0.3288530465949821</v>
      </c>
    </row>
    <row r="38" spans="2:6" x14ac:dyDescent="0.25">
      <c r="B38" s="59">
        <v>1.6</v>
      </c>
      <c r="C38" s="59">
        <f t="shared" si="0"/>
        <v>0.25</v>
      </c>
      <c r="D38" s="62">
        <f t="shared" si="1"/>
        <v>7.6388888888888895E-2</v>
      </c>
      <c r="E38" s="61">
        <f t="shared" si="2"/>
        <v>0.3263888888888889</v>
      </c>
      <c r="F38" s="60">
        <f t="shared" si="3"/>
        <v>-0.3263888888888889</v>
      </c>
    </row>
    <row r="39" spans="2:6" x14ac:dyDescent="0.25">
      <c r="B39" s="59">
        <v>1.65</v>
      </c>
      <c r="C39" s="59">
        <f t="shared" si="0"/>
        <v>0.25</v>
      </c>
      <c r="D39" s="62">
        <f t="shared" si="1"/>
        <v>7.4074074074074098E-2</v>
      </c>
      <c r="E39" s="61">
        <f t="shared" si="2"/>
        <v>0.32407407407407407</v>
      </c>
      <c r="F39" s="60">
        <f t="shared" si="3"/>
        <v>-0.32407407407407407</v>
      </c>
    </row>
    <row r="40" spans="2:6" x14ac:dyDescent="0.25">
      <c r="B40" s="59">
        <v>1.7</v>
      </c>
      <c r="C40" s="59">
        <f t="shared" si="0"/>
        <v>0.25</v>
      </c>
      <c r="D40" s="62">
        <f t="shared" si="1"/>
        <v>7.1895424836601329E-2</v>
      </c>
      <c r="E40" s="61">
        <f t="shared" si="2"/>
        <v>0.32189542483660133</v>
      </c>
      <c r="F40" s="60">
        <f t="shared" si="3"/>
        <v>-0.32189542483660133</v>
      </c>
    </row>
    <row r="41" spans="2:6" x14ac:dyDescent="0.25">
      <c r="B41" s="59">
        <v>1.75</v>
      </c>
      <c r="C41" s="59">
        <f t="shared" si="0"/>
        <v>0.25</v>
      </c>
      <c r="D41" s="62">
        <f t="shared" si="1"/>
        <v>6.9841269841269843E-2</v>
      </c>
      <c r="E41" s="61">
        <f t="shared" si="2"/>
        <v>0.31984126984126982</v>
      </c>
      <c r="F41" s="60">
        <f t="shared" si="3"/>
        <v>-0.31984126984126982</v>
      </c>
    </row>
    <row r="42" spans="2:6" x14ac:dyDescent="0.25">
      <c r="B42" s="59">
        <v>1.8</v>
      </c>
      <c r="C42" s="59">
        <f t="shared" si="0"/>
        <v>0.25</v>
      </c>
      <c r="D42" s="62">
        <f t="shared" si="1"/>
        <v>6.7901234567901245E-2</v>
      </c>
      <c r="E42" s="61">
        <f t="shared" si="2"/>
        <v>0.31790123456790126</v>
      </c>
      <c r="F42" s="60">
        <f t="shared" si="3"/>
        <v>-0.31790123456790126</v>
      </c>
    </row>
    <row r="43" spans="2:6" x14ac:dyDescent="0.25">
      <c r="B43" s="59">
        <v>1.85</v>
      </c>
      <c r="C43" s="59">
        <f t="shared" si="0"/>
        <v>0.25</v>
      </c>
      <c r="D43" s="62">
        <f t="shared" si="1"/>
        <v>6.6066066066066076E-2</v>
      </c>
      <c r="E43" s="61">
        <f t="shared" si="2"/>
        <v>0.31606606606606608</v>
      </c>
      <c r="F43" s="60">
        <f t="shared" si="3"/>
        <v>-0.31606606606606608</v>
      </c>
    </row>
    <row r="44" spans="2:6" x14ac:dyDescent="0.25">
      <c r="B44" s="59">
        <v>1.9</v>
      </c>
      <c r="C44" s="59">
        <f t="shared" si="0"/>
        <v>0.25</v>
      </c>
      <c r="D44" s="62">
        <f t="shared" si="1"/>
        <v>6.4327485380116969E-2</v>
      </c>
      <c r="E44" s="61">
        <f t="shared" si="2"/>
        <v>0.31432748538011696</v>
      </c>
      <c r="F44" s="60">
        <f t="shared" si="3"/>
        <v>-0.31432748538011696</v>
      </c>
    </row>
    <row r="45" spans="2:6" x14ac:dyDescent="0.25">
      <c r="B45" s="59">
        <v>1.95</v>
      </c>
      <c r="C45" s="59">
        <f t="shared" si="0"/>
        <v>0.25</v>
      </c>
      <c r="D45" s="62">
        <f t="shared" si="1"/>
        <v>6.2678062678062696E-2</v>
      </c>
      <c r="E45" s="61">
        <f t="shared" si="2"/>
        <v>0.3126780626780627</v>
      </c>
      <c r="F45" s="60">
        <f t="shared" si="3"/>
        <v>-0.3126780626780627</v>
      </c>
    </row>
    <row r="46" spans="2:6" x14ac:dyDescent="0.25">
      <c r="B46" s="59">
        <v>2</v>
      </c>
      <c r="C46" s="59">
        <f t="shared" si="0"/>
        <v>0.25</v>
      </c>
      <c r="D46" s="62">
        <f t="shared" si="1"/>
        <v>6.1111111111111123E-2</v>
      </c>
      <c r="E46" s="61">
        <f t="shared" si="2"/>
        <v>0.31111111111111112</v>
      </c>
      <c r="F46" s="60">
        <f t="shared" si="3"/>
        <v>-0.31111111111111112</v>
      </c>
    </row>
    <row r="47" spans="2:6" x14ac:dyDescent="0.25">
      <c r="B47" s="59">
        <v>2.0499999999999998</v>
      </c>
      <c r="C47" s="59">
        <f t="shared" si="0"/>
        <v>0.25</v>
      </c>
      <c r="D47" s="62">
        <f t="shared" si="1"/>
        <v>5.9620596205962072E-2</v>
      </c>
      <c r="E47" s="61">
        <f t="shared" si="2"/>
        <v>0.30962059620596205</v>
      </c>
      <c r="F47" s="60">
        <f t="shared" si="3"/>
        <v>-0.30962059620596205</v>
      </c>
    </row>
    <row r="48" spans="2:6" x14ac:dyDescent="0.25">
      <c r="B48" s="59">
        <v>2.1</v>
      </c>
      <c r="C48" s="59">
        <f t="shared" si="0"/>
        <v>0.25</v>
      </c>
      <c r="D48" s="62">
        <f t="shared" si="1"/>
        <v>5.8201058201058212E-2</v>
      </c>
      <c r="E48" s="61">
        <f t="shared" si="2"/>
        <v>0.3082010582010582</v>
      </c>
      <c r="F48" s="60">
        <f t="shared" si="3"/>
        <v>-0.3082010582010582</v>
      </c>
    </row>
    <row r="49" spans="2:6" x14ac:dyDescent="0.25">
      <c r="B49" s="59">
        <v>2.15</v>
      </c>
      <c r="C49" s="59">
        <f t="shared" si="0"/>
        <v>0.25</v>
      </c>
      <c r="D49" s="62">
        <f t="shared" si="1"/>
        <v>5.6847545219638258E-2</v>
      </c>
      <c r="E49" s="61">
        <f t="shared" si="2"/>
        <v>0.30684754521963825</v>
      </c>
      <c r="F49" s="60">
        <f t="shared" si="3"/>
        <v>-0.30684754521963825</v>
      </c>
    </row>
    <row r="50" spans="2:6" x14ac:dyDescent="0.25">
      <c r="B50" s="59">
        <v>2.2000000000000002</v>
      </c>
      <c r="C50" s="59">
        <f t="shared" si="0"/>
        <v>0.25</v>
      </c>
      <c r="D50" s="62">
        <f t="shared" si="1"/>
        <v>5.5555555555555552E-2</v>
      </c>
      <c r="E50" s="61">
        <f t="shared" si="2"/>
        <v>0.30555555555555558</v>
      </c>
      <c r="F50" s="60">
        <f t="shared" si="3"/>
        <v>-0.30555555555555558</v>
      </c>
    </row>
    <row r="51" spans="2:6" x14ac:dyDescent="0.25">
      <c r="B51" s="59">
        <v>2.25</v>
      </c>
      <c r="C51" s="59">
        <f t="shared" si="0"/>
        <v>0.25</v>
      </c>
      <c r="D51" s="62">
        <f t="shared" si="1"/>
        <v>5.4320987654321001E-2</v>
      </c>
      <c r="E51" s="61">
        <f t="shared" si="2"/>
        <v>0.30432098765432103</v>
      </c>
      <c r="F51" s="60">
        <f t="shared" si="3"/>
        <v>-0.30432098765432103</v>
      </c>
    </row>
    <row r="52" spans="2:6" x14ac:dyDescent="0.25">
      <c r="B52" s="59">
        <v>2.2999999999999998</v>
      </c>
      <c r="C52" s="59">
        <f t="shared" si="0"/>
        <v>0.25</v>
      </c>
      <c r="D52" s="62">
        <f t="shared" si="1"/>
        <v>5.3140096618357502E-2</v>
      </c>
      <c r="E52" s="61">
        <f t="shared" si="2"/>
        <v>0.3031400966183575</v>
      </c>
      <c r="F52" s="60">
        <f t="shared" si="3"/>
        <v>-0.3031400966183575</v>
      </c>
    </row>
    <row r="53" spans="2:6" x14ac:dyDescent="0.25">
      <c r="B53" s="59">
        <v>2.35</v>
      </c>
      <c r="C53" s="59">
        <f t="shared" si="0"/>
        <v>0.25</v>
      </c>
      <c r="D53" s="62">
        <f t="shared" si="1"/>
        <v>5.2009456264775412E-2</v>
      </c>
      <c r="E53" s="61">
        <f t="shared" si="2"/>
        <v>0.30200945626477543</v>
      </c>
      <c r="F53" s="60">
        <f t="shared" si="3"/>
        <v>-0.30200945626477543</v>
      </c>
    </row>
    <row r="54" spans="2:6" x14ac:dyDescent="0.25">
      <c r="B54" s="59">
        <v>2.4</v>
      </c>
      <c r="C54" s="59">
        <f t="shared" si="0"/>
        <v>0.25</v>
      </c>
      <c r="D54" s="62">
        <f t="shared" si="1"/>
        <v>5.092592592592593E-2</v>
      </c>
      <c r="E54" s="61">
        <f t="shared" si="2"/>
        <v>0.30092592592592593</v>
      </c>
      <c r="F54" s="60">
        <f t="shared" si="3"/>
        <v>-0.30092592592592593</v>
      </c>
    </row>
    <row r="55" spans="2:6" x14ac:dyDescent="0.25">
      <c r="B55" s="59">
        <v>2.4500000000000002</v>
      </c>
      <c r="C55" s="59">
        <f t="shared" si="0"/>
        <v>0.25</v>
      </c>
      <c r="D55" s="62">
        <f t="shared" si="1"/>
        <v>4.9886621315192746E-2</v>
      </c>
      <c r="E55" s="61">
        <f t="shared" si="2"/>
        <v>0.29988662131519273</v>
      </c>
      <c r="F55" s="60">
        <f t="shared" si="3"/>
        <v>-0.29988662131519273</v>
      </c>
    </row>
    <row r="56" spans="2:6" x14ac:dyDescent="0.25">
      <c r="B56" s="59">
        <v>2.5</v>
      </c>
      <c r="C56" s="59">
        <f t="shared" si="0"/>
        <v>0.25</v>
      </c>
      <c r="D56" s="62">
        <f t="shared" si="1"/>
        <v>4.8888888888888898E-2</v>
      </c>
      <c r="E56" s="61">
        <f t="shared" si="2"/>
        <v>0.29888888888888887</v>
      </c>
      <c r="F56" s="60">
        <f t="shared" si="3"/>
        <v>-0.29888888888888887</v>
      </c>
    </row>
    <row r="57" spans="2:6" x14ac:dyDescent="0.25">
      <c r="B57" s="59">
        <v>2.5499999999999998</v>
      </c>
      <c r="C57" s="59">
        <f t="shared" si="0"/>
        <v>0.25</v>
      </c>
      <c r="D57" s="62">
        <f t="shared" si="1"/>
        <v>4.7930283224400884E-2</v>
      </c>
      <c r="E57" s="61">
        <f t="shared" si="2"/>
        <v>0.2979302832244009</v>
      </c>
      <c r="F57" s="60">
        <f t="shared" si="3"/>
        <v>-0.2979302832244009</v>
      </c>
    </row>
    <row r="58" spans="2:6" x14ac:dyDescent="0.25">
      <c r="B58" s="59">
        <v>2.6</v>
      </c>
      <c r="C58" s="59">
        <f t="shared" si="0"/>
        <v>0.25</v>
      </c>
      <c r="D58" s="62">
        <f t="shared" si="1"/>
        <v>4.7008547008547015E-2</v>
      </c>
      <c r="E58" s="61">
        <f t="shared" si="2"/>
        <v>0.29700854700854701</v>
      </c>
      <c r="F58" s="60">
        <f t="shared" si="3"/>
        <v>-0.29700854700854701</v>
      </c>
    </row>
    <row r="59" spans="2:6" x14ac:dyDescent="0.25">
      <c r="B59" s="59">
        <v>2.65</v>
      </c>
      <c r="C59" s="59">
        <f t="shared" si="0"/>
        <v>0.25</v>
      </c>
      <c r="D59" s="62">
        <f t="shared" si="1"/>
        <v>4.6121593291404618E-2</v>
      </c>
      <c r="E59" s="61">
        <f t="shared" si="2"/>
        <v>0.29612159329140464</v>
      </c>
      <c r="F59" s="60">
        <f t="shared" si="3"/>
        <v>-0.29612159329140464</v>
      </c>
    </row>
    <row r="60" spans="2:6" x14ac:dyDescent="0.25">
      <c r="B60" s="59">
        <v>2.7</v>
      </c>
      <c r="C60" s="59">
        <f t="shared" si="0"/>
        <v>0.25</v>
      </c>
      <c r="D60" s="62">
        <f t="shared" si="1"/>
        <v>4.5267489711934158E-2</v>
      </c>
      <c r="E60" s="61">
        <f t="shared" si="2"/>
        <v>0.29526748971193417</v>
      </c>
      <c r="F60" s="60">
        <f t="shared" si="3"/>
        <v>-0.29526748971193417</v>
      </c>
    </row>
    <row r="61" spans="2:6" x14ac:dyDescent="0.25">
      <c r="B61" s="59">
        <v>2.75</v>
      </c>
      <c r="C61" s="59">
        <f t="shared" si="0"/>
        <v>0.25</v>
      </c>
      <c r="D61" s="62">
        <f t="shared" si="1"/>
        <v>4.4444444444444453E-2</v>
      </c>
      <c r="E61" s="61">
        <f t="shared" si="2"/>
        <v>0.29444444444444445</v>
      </c>
      <c r="F61" s="60">
        <f t="shared" si="3"/>
        <v>-0.29444444444444445</v>
      </c>
    </row>
    <row r="62" spans="2:6" x14ac:dyDescent="0.25">
      <c r="B62" s="59">
        <v>2.8</v>
      </c>
      <c r="C62" s="59">
        <f t="shared" si="0"/>
        <v>0.25</v>
      </c>
      <c r="D62" s="62">
        <f t="shared" si="1"/>
        <v>4.3650793650793662E-2</v>
      </c>
      <c r="E62" s="61">
        <f t="shared" si="2"/>
        <v>0.29365079365079366</v>
      </c>
      <c r="F62" s="60">
        <f t="shared" si="3"/>
        <v>-0.29365079365079366</v>
      </c>
    </row>
    <row r="63" spans="2:6" x14ac:dyDescent="0.25">
      <c r="B63" s="59">
        <v>2.85</v>
      </c>
      <c r="C63" s="59">
        <f t="shared" si="0"/>
        <v>0.25</v>
      </c>
      <c r="D63" s="62">
        <f t="shared" si="1"/>
        <v>4.2884990253411311E-2</v>
      </c>
      <c r="E63" s="61">
        <f t="shared" si="2"/>
        <v>0.2928849902534113</v>
      </c>
      <c r="F63" s="60">
        <f t="shared" si="3"/>
        <v>-0.2928849902534113</v>
      </c>
    </row>
    <row r="64" spans="2:6" x14ac:dyDescent="0.25">
      <c r="B64" s="59">
        <v>2.9</v>
      </c>
      <c r="C64" s="59">
        <f t="shared" si="0"/>
        <v>0.25</v>
      </c>
      <c r="D64" s="62">
        <f t="shared" si="1"/>
        <v>4.2145593869731809E-2</v>
      </c>
      <c r="E64" s="61">
        <f t="shared" si="2"/>
        <v>0.29214559386973182</v>
      </c>
      <c r="F64" s="60">
        <f t="shared" si="3"/>
        <v>-0.29214559386973182</v>
      </c>
    </row>
    <row r="65" spans="2:6" x14ac:dyDescent="0.25">
      <c r="B65" s="59">
        <v>2.95</v>
      </c>
      <c r="C65" s="59">
        <f t="shared" si="0"/>
        <v>0.25</v>
      </c>
      <c r="D65" s="62">
        <f t="shared" si="1"/>
        <v>4.1431261770244823E-2</v>
      </c>
      <c r="E65" s="61">
        <f t="shared" si="2"/>
        <v>0.29143126177024481</v>
      </c>
      <c r="F65" s="60">
        <f t="shared" si="3"/>
        <v>-0.29143126177024481</v>
      </c>
    </row>
    <row r="66" spans="2:6" x14ac:dyDescent="0.25">
      <c r="B66" s="59">
        <v>3</v>
      </c>
      <c r="C66" s="59">
        <f t="shared" si="0"/>
        <v>0.25</v>
      </c>
      <c r="D66" s="62">
        <f t="shared" si="1"/>
        <v>4.0740740740740751E-2</v>
      </c>
      <c r="E66" s="61">
        <f t="shared" si="2"/>
        <v>0.29074074074074074</v>
      </c>
      <c r="F66" s="60">
        <f t="shared" si="3"/>
        <v>-0.29074074074074074</v>
      </c>
    </row>
    <row r="67" spans="2:6" x14ac:dyDescent="0.25">
      <c r="B67" s="59">
        <v>3.05</v>
      </c>
      <c r="C67" s="59">
        <f t="shared" si="0"/>
        <v>0.25</v>
      </c>
      <c r="D67" s="62">
        <f t="shared" si="1"/>
        <v>4.0072859744990905E-2</v>
      </c>
      <c r="E67" s="61">
        <f t="shared" si="2"/>
        <v>0.29007285974499092</v>
      </c>
      <c r="F67" s="60">
        <f t="shared" si="3"/>
        <v>-0.29007285974499092</v>
      </c>
    </row>
    <row r="68" spans="2:6" x14ac:dyDescent="0.25">
      <c r="B68" s="59">
        <v>3.1</v>
      </c>
      <c r="C68" s="59">
        <f t="shared" si="0"/>
        <v>0.25</v>
      </c>
      <c r="D68" s="62">
        <f t="shared" si="1"/>
        <v>3.9426523297491044E-2</v>
      </c>
      <c r="E68" s="61">
        <f t="shared" si="2"/>
        <v>0.28942652329749102</v>
      </c>
      <c r="F68" s="60">
        <f t="shared" si="3"/>
        <v>-0.28942652329749102</v>
      </c>
    </row>
    <row r="69" spans="2:6" x14ac:dyDescent="0.25">
      <c r="B69" s="59">
        <v>3.15</v>
      </c>
      <c r="C69" s="59">
        <f t="shared" si="0"/>
        <v>0.25</v>
      </c>
      <c r="D69" s="62">
        <f t="shared" si="1"/>
        <v>3.8800705467372139E-2</v>
      </c>
      <c r="E69" s="61">
        <f t="shared" si="2"/>
        <v>0.28880070546737213</v>
      </c>
      <c r="F69" s="60">
        <f t="shared" si="3"/>
        <v>-0.28880070546737213</v>
      </c>
    </row>
    <row r="70" spans="2:6" x14ac:dyDescent="0.25">
      <c r="B70" s="59">
        <v>3.2</v>
      </c>
      <c r="C70" s="59">
        <f t="shared" ref="C70:C133" si="4">$C$4</f>
        <v>0.25</v>
      </c>
      <c r="D70" s="62">
        <f t="shared" ref="D70:D133" si="5">$F$2/B70*100</f>
        <v>3.8194444444444448E-2</v>
      </c>
      <c r="E70" s="61">
        <f t="shared" ref="E70:E133" si="6">C70+D70</f>
        <v>0.28819444444444442</v>
      </c>
      <c r="F70" s="60">
        <f t="shared" ref="F70:F133" si="7">E70*-1</f>
        <v>-0.28819444444444442</v>
      </c>
    </row>
    <row r="71" spans="2:6" x14ac:dyDescent="0.25">
      <c r="B71" s="59">
        <v>3.25</v>
      </c>
      <c r="C71" s="59">
        <f t="shared" si="4"/>
        <v>0.25</v>
      </c>
      <c r="D71" s="62">
        <f t="shared" si="5"/>
        <v>3.7606837606837612E-2</v>
      </c>
      <c r="E71" s="61">
        <f t="shared" si="6"/>
        <v>0.28760683760683758</v>
      </c>
      <c r="F71" s="60">
        <f t="shared" si="7"/>
        <v>-0.28760683760683758</v>
      </c>
    </row>
    <row r="72" spans="2:6" x14ac:dyDescent="0.25">
      <c r="B72" s="59">
        <v>3.3</v>
      </c>
      <c r="C72" s="59">
        <f t="shared" si="4"/>
        <v>0.25</v>
      </c>
      <c r="D72" s="62">
        <f t="shared" si="5"/>
        <v>3.7037037037037049E-2</v>
      </c>
      <c r="E72" s="61">
        <f t="shared" si="6"/>
        <v>0.28703703703703703</v>
      </c>
      <c r="F72" s="60">
        <f t="shared" si="7"/>
        <v>-0.28703703703703703</v>
      </c>
    </row>
    <row r="73" spans="2:6" x14ac:dyDescent="0.25">
      <c r="B73" s="59">
        <v>3.35</v>
      </c>
      <c r="C73" s="59">
        <f t="shared" si="4"/>
        <v>0.25</v>
      </c>
      <c r="D73" s="62">
        <f t="shared" si="5"/>
        <v>3.6484245439469327E-2</v>
      </c>
      <c r="E73" s="61">
        <f t="shared" si="6"/>
        <v>0.28648424543946932</v>
      </c>
      <c r="F73" s="60">
        <f t="shared" si="7"/>
        <v>-0.28648424543946932</v>
      </c>
    </row>
    <row r="74" spans="2:6" x14ac:dyDescent="0.25">
      <c r="B74" s="59">
        <v>3.4</v>
      </c>
      <c r="C74" s="59">
        <f t="shared" si="4"/>
        <v>0.25</v>
      </c>
      <c r="D74" s="62">
        <f t="shared" si="5"/>
        <v>3.5947712418300665E-2</v>
      </c>
      <c r="E74" s="61">
        <f t="shared" si="6"/>
        <v>0.28594771241830064</v>
      </c>
      <c r="F74" s="60">
        <f t="shared" si="7"/>
        <v>-0.28594771241830064</v>
      </c>
    </row>
    <row r="75" spans="2:6" x14ac:dyDescent="0.25">
      <c r="B75" s="59">
        <v>3.45</v>
      </c>
      <c r="C75" s="59">
        <f t="shared" si="4"/>
        <v>0.25</v>
      </c>
      <c r="D75" s="62">
        <f t="shared" si="5"/>
        <v>3.5426731078904997E-2</v>
      </c>
      <c r="E75" s="61">
        <f t="shared" si="6"/>
        <v>0.28542673107890498</v>
      </c>
      <c r="F75" s="60">
        <f t="shared" si="7"/>
        <v>-0.28542673107890498</v>
      </c>
    </row>
    <row r="76" spans="2:6" x14ac:dyDescent="0.25">
      <c r="B76" s="59">
        <v>3.5</v>
      </c>
      <c r="C76" s="59">
        <f t="shared" si="4"/>
        <v>0.25</v>
      </c>
      <c r="D76" s="62">
        <f t="shared" si="5"/>
        <v>3.4920634920634921E-2</v>
      </c>
      <c r="E76" s="61">
        <f t="shared" si="6"/>
        <v>0.28492063492063491</v>
      </c>
      <c r="F76" s="60">
        <f t="shared" si="7"/>
        <v>-0.28492063492063491</v>
      </c>
    </row>
    <row r="77" spans="2:6" x14ac:dyDescent="0.25">
      <c r="B77" s="59">
        <v>3.55</v>
      </c>
      <c r="C77" s="59">
        <f t="shared" si="4"/>
        <v>0.25</v>
      </c>
      <c r="D77" s="62">
        <f t="shared" si="5"/>
        <v>3.4428794992175285E-2</v>
      </c>
      <c r="E77" s="61">
        <f t="shared" si="6"/>
        <v>0.28442879499217527</v>
      </c>
      <c r="F77" s="60">
        <f t="shared" si="7"/>
        <v>-0.28442879499217527</v>
      </c>
    </row>
    <row r="78" spans="2:6" x14ac:dyDescent="0.25">
      <c r="B78" s="59">
        <v>3.6</v>
      </c>
      <c r="C78" s="59">
        <f t="shared" si="4"/>
        <v>0.25</v>
      </c>
      <c r="D78" s="62">
        <f t="shared" si="5"/>
        <v>3.3950617283950622E-2</v>
      </c>
      <c r="E78" s="61">
        <f t="shared" si="6"/>
        <v>0.2839506172839506</v>
      </c>
      <c r="F78" s="60">
        <f t="shared" si="7"/>
        <v>-0.2839506172839506</v>
      </c>
    </row>
    <row r="79" spans="2:6" x14ac:dyDescent="0.25">
      <c r="B79" s="59">
        <v>3.65</v>
      </c>
      <c r="C79" s="59">
        <f t="shared" si="4"/>
        <v>0.25</v>
      </c>
      <c r="D79" s="62">
        <f t="shared" si="5"/>
        <v>3.3485540334855408E-2</v>
      </c>
      <c r="E79" s="61">
        <f t="shared" si="6"/>
        <v>0.2834855403348554</v>
      </c>
      <c r="F79" s="60">
        <f t="shared" si="7"/>
        <v>-0.2834855403348554</v>
      </c>
    </row>
    <row r="80" spans="2:6" x14ac:dyDescent="0.25">
      <c r="B80" s="59">
        <v>3.7</v>
      </c>
      <c r="C80" s="59">
        <f t="shared" si="4"/>
        <v>0.25</v>
      </c>
      <c r="D80" s="62">
        <f t="shared" si="5"/>
        <v>3.3033033033033038E-2</v>
      </c>
      <c r="E80" s="61">
        <f t="shared" si="6"/>
        <v>0.28303303303303307</v>
      </c>
      <c r="F80" s="60">
        <f t="shared" si="7"/>
        <v>-0.28303303303303307</v>
      </c>
    </row>
    <row r="81" spans="2:6" x14ac:dyDescent="0.25">
      <c r="B81" s="59">
        <v>3.75</v>
      </c>
      <c r="C81" s="59">
        <f t="shared" si="4"/>
        <v>0.25</v>
      </c>
      <c r="D81" s="62">
        <f t="shared" si="5"/>
        <v>3.2592592592592597E-2</v>
      </c>
      <c r="E81" s="61">
        <f t="shared" si="6"/>
        <v>0.28259259259259262</v>
      </c>
      <c r="F81" s="60">
        <f t="shared" si="7"/>
        <v>-0.28259259259259262</v>
      </c>
    </row>
    <row r="82" spans="2:6" x14ac:dyDescent="0.25">
      <c r="B82" s="59">
        <v>3.8</v>
      </c>
      <c r="C82" s="59">
        <f t="shared" si="4"/>
        <v>0.25</v>
      </c>
      <c r="D82" s="62">
        <f t="shared" si="5"/>
        <v>3.2163742690058485E-2</v>
      </c>
      <c r="E82" s="61">
        <f t="shared" si="6"/>
        <v>0.28216374269005851</v>
      </c>
      <c r="F82" s="60">
        <f t="shared" si="7"/>
        <v>-0.28216374269005851</v>
      </c>
    </row>
    <row r="83" spans="2:6" x14ac:dyDescent="0.25">
      <c r="B83" s="59">
        <v>3.85</v>
      </c>
      <c r="C83" s="59">
        <f t="shared" si="4"/>
        <v>0.25</v>
      </c>
      <c r="D83" s="62">
        <f t="shared" si="5"/>
        <v>3.1746031746031751E-2</v>
      </c>
      <c r="E83" s="61">
        <f t="shared" si="6"/>
        <v>0.28174603174603174</v>
      </c>
      <c r="F83" s="60">
        <f t="shared" si="7"/>
        <v>-0.28174603174603174</v>
      </c>
    </row>
    <row r="84" spans="2:6" x14ac:dyDescent="0.25">
      <c r="B84" s="59">
        <v>3.9</v>
      </c>
      <c r="C84" s="59">
        <f t="shared" si="4"/>
        <v>0.25</v>
      </c>
      <c r="D84" s="62">
        <f t="shared" si="5"/>
        <v>3.1339031339031348E-2</v>
      </c>
      <c r="E84" s="61">
        <f t="shared" si="6"/>
        <v>0.28133903133903138</v>
      </c>
      <c r="F84" s="60">
        <f t="shared" si="7"/>
        <v>-0.28133903133903138</v>
      </c>
    </row>
    <row r="85" spans="2:6" x14ac:dyDescent="0.25">
      <c r="B85" s="59">
        <v>3.95</v>
      </c>
      <c r="C85" s="59">
        <f t="shared" si="4"/>
        <v>0.25</v>
      </c>
      <c r="D85" s="62">
        <f t="shared" si="5"/>
        <v>3.0942334739803099E-2</v>
      </c>
      <c r="E85" s="61">
        <f t="shared" si="6"/>
        <v>0.28094233473980312</v>
      </c>
      <c r="F85" s="60">
        <f t="shared" si="7"/>
        <v>-0.28094233473980312</v>
      </c>
    </row>
    <row r="86" spans="2:6" x14ac:dyDescent="0.25">
      <c r="B86" s="59">
        <v>4</v>
      </c>
      <c r="C86" s="59">
        <f t="shared" si="4"/>
        <v>0.25</v>
      </c>
      <c r="D86" s="62">
        <f t="shared" si="5"/>
        <v>3.0555555555555561E-2</v>
      </c>
      <c r="E86" s="61">
        <f t="shared" si="6"/>
        <v>0.28055555555555556</v>
      </c>
      <c r="F86" s="60">
        <f t="shared" si="7"/>
        <v>-0.28055555555555556</v>
      </c>
    </row>
    <row r="87" spans="2:6" x14ac:dyDescent="0.25">
      <c r="B87" s="59">
        <v>4.05</v>
      </c>
      <c r="C87" s="59">
        <f t="shared" si="4"/>
        <v>0.25</v>
      </c>
      <c r="D87" s="62">
        <f t="shared" si="5"/>
        <v>3.0178326474622777E-2</v>
      </c>
      <c r="E87" s="61">
        <f t="shared" si="6"/>
        <v>0.28017832647462276</v>
      </c>
      <c r="F87" s="60">
        <f t="shared" si="7"/>
        <v>-0.28017832647462276</v>
      </c>
    </row>
    <row r="88" spans="2:6" x14ac:dyDescent="0.25">
      <c r="B88" s="59">
        <v>4.0999999999999996</v>
      </c>
      <c r="C88" s="59">
        <f t="shared" si="4"/>
        <v>0.25</v>
      </c>
      <c r="D88" s="62">
        <f t="shared" si="5"/>
        <v>2.9810298102981036E-2</v>
      </c>
      <c r="E88" s="61">
        <f t="shared" si="6"/>
        <v>0.27981029810298103</v>
      </c>
      <c r="F88" s="60">
        <f t="shared" si="7"/>
        <v>-0.27981029810298103</v>
      </c>
    </row>
    <row r="89" spans="2:6" x14ac:dyDescent="0.25">
      <c r="B89" s="59">
        <v>4.1500000000000004</v>
      </c>
      <c r="C89" s="59">
        <f t="shared" si="4"/>
        <v>0.25</v>
      </c>
      <c r="D89" s="62">
        <f t="shared" si="5"/>
        <v>2.9451137884872827E-2</v>
      </c>
      <c r="E89" s="61">
        <f t="shared" si="6"/>
        <v>0.2794511378848728</v>
      </c>
      <c r="F89" s="60">
        <f t="shared" si="7"/>
        <v>-0.2794511378848728</v>
      </c>
    </row>
    <row r="90" spans="2:6" x14ac:dyDescent="0.25">
      <c r="B90" s="59">
        <v>4.2</v>
      </c>
      <c r="C90" s="59">
        <f t="shared" si="4"/>
        <v>0.25</v>
      </c>
      <c r="D90" s="62">
        <f t="shared" si="5"/>
        <v>2.9100529100529106E-2</v>
      </c>
      <c r="E90" s="61">
        <f t="shared" si="6"/>
        <v>0.27910052910052913</v>
      </c>
      <c r="F90" s="60">
        <f t="shared" si="7"/>
        <v>-0.27910052910052913</v>
      </c>
    </row>
    <row r="91" spans="2:6" x14ac:dyDescent="0.25">
      <c r="B91" s="59">
        <v>4.25</v>
      </c>
      <c r="C91" s="59">
        <f t="shared" si="4"/>
        <v>0.25</v>
      </c>
      <c r="D91" s="62">
        <f t="shared" si="5"/>
        <v>2.8758169934640532E-2</v>
      </c>
      <c r="E91" s="61">
        <f t="shared" si="6"/>
        <v>0.27875816993464053</v>
      </c>
      <c r="F91" s="60">
        <f t="shared" si="7"/>
        <v>-0.27875816993464053</v>
      </c>
    </row>
    <row r="92" spans="2:6" x14ac:dyDescent="0.25">
      <c r="B92" s="59">
        <v>4.3</v>
      </c>
      <c r="C92" s="59">
        <f t="shared" si="4"/>
        <v>0.25</v>
      </c>
      <c r="D92" s="62">
        <f t="shared" si="5"/>
        <v>2.8423772609819129E-2</v>
      </c>
      <c r="E92" s="61">
        <f t="shared" si="6"/>
        <v>0.27842377260981915</v>
      </c>
      <c r="F92" s="60">
        <f t="shared" si="7"/>
        <v>-0.27842377260981915</v>
      </c>
    </row>
    <row r="93" spans="2:6" x14ac:dyDescent="0.25">
      <c r="B93" s="59">
        <v>4.3499999999999996</v>
      </c>
      <c r="C93" s="59">
        <f t="shared" si="4"/>
        <v>0.25</v>
      </c>
      <c r="D93" s="62">
        <f t="shared" si="5"/>
        <v>2.8097062579821211E-2</v>
      </c>
      <c r="E93" s="61">
        <f t="shared" si="6"/>
        <v>0.2780970625798212</v>
      </c>
      <c r="F93" s="60">
        <f t="shared" si="7"/>
        <v>-0.2780970625798212</v>
      </c>
    </row>
    <row r="94" spans="2:6" x14ac:dyDescent="0.25">
      <c r="B94" s="59">
        <v>4.4000000000000004</v>
      </c>
      <c r="C94" s="59">
        <f t="shared" si="4"/>
        <v>0.25</v>
      </c>
      <c r="D94" s="62">
        <f t="shared" si="5"/>
        <v>2.7777777777777776E-2</v>
      </c>
      <c r="E94" s="61">
        <f t="shared" si="6"/>
        <v>0.27777777777777779</v>
      </c>
      <c r="F94" s="60">
        <f t="shared" si="7"/>
        <v>-0.27777777777777779</v>
      </c>
    </row>
    <row r="95" spans="2:6" x14ac:dyDescent="0.25">
      <c r="B95" s="59">
        <v>4.45</v>
      </c>
      <c r="C95" s="59">
        <f t="shared" si="4"/>
        <v>0.25</v>
      </c>
      <c r="D95" s="62">
        <f t="shared" si="5"/>
        <v>2.7465667915106122E-2</v>
      </c>
      <c r="E95" s="61">
        <f t="shared" si="6"/>
        <v>0.27746566791510613</v>
      </c>
      <c r="F95" s="60">
        <f t="shared" si="7"/>
        <v>-0.27746566791510613</v>
      </c>
    </row>
    <row r="96" spans="2:6" x14ac:dyDescent="0.25">
      <c r="B96" s="59">
        <v>4.5</v>
      </c>
      <c r="C96" s="59">
        <f t="shared" si="4"/>
        <v>0.25</v>
      </c>
      <c r="D96" s="62">
        <f t="shared" si="5"/>
        <v>2.7160493827160501E-2</v>
      </c>
      <c r="E96" s="61">
        <f t="shared" si="6"/>
        <v>0.27716049382716051</v>
      </c>
      <c r="F96" s="60">
        <f t="shared" si="7"/>
        <v>-0.27716049382716051</v>
      </c>
    </row>
    <row r="97" spans="2:6" x14ac:dyDescent="0.25">
      <c r="B97" s="59">
        <v>4.55</v>
      </c>
      <c r="C97" s="59">
        <f t="shared" si="4"/>
        <v>0.25</v>
      </c>
      <c r="D97" s="62">
        <f t="shared" si="5"/>
        <v>2.6862026862026867E-2</v>
      </c>
      <c r="E97" s="61">
        <f t="shared" si="6"/>
        <v>0.27686202686202688</v>
      </c>
      <c r="F97" s="60">
        <f t="shared" si="7"/>
        <v>-0.27686202686202688</v>
      </c>
    </row>
    <row r="98" spans="2:6" x14ac:dyDescent="0.25">
      <c r="B98" s="59">
        <v>4.5999999999999996</v>
      </c>
      <c r="C98" s="59">
        <f t="shared" si="4"/>
        <v>0.25</v>
      </c>
      <c r="D98" s="62">
        <f t="shared" si="5"/>
        <v>2.6570048309178751E-2</v>
      </c>
      <c r="E98" s="61">
        <f t="shared" si="6"/>
        <v>0.27657004830917875</v>
      </c>
      <c r="F98" s="60">
        <f t="shared" si="7"/>
        <v>-0.27657004830917875</v>
      </c>
    </row>
    <row r="99" spans="2:6" x14ac:dyDescent="0.25">
      <c r="B99" s="59">
        <v>4.6500000000000004</v>
      </c>
      <c r="C99" s="59">
        <f t="shared" si="4"/>
        <v>0.25</v>
      </c>
      <c r="D99" s="62">
        <f t="shared" si="5"/>
        <v>2.628434886499403E-2</v>
      </c>
      <c r="E99" s="61">
        <f t="shared" si="6"/>
        <v>0.27628434886499403</v>
      </c>
      <c r="F99" s="60">
        <f t="shared" si="7"/>
        <v>-0.27628434886499403</v>
      </c>
    </row>
    <row r="100" spans="2:6" x14ac:dyDescent="0.25">
      <c r="B100" s="59">
        <v>4.7</v>
      </c>
      <c r="C100" s="59">
        <f t="shared" si="4"/>
        <v>0.25</v>
      </c>
      <c r="D100" s="62">
        <f t="shared" si="5"/>
        <v>2.6004728132387706E-2</v>
      </c>
      <c r="E100" s="61">
        <f t="shared" si="6"/>
        <v>0.27600472813238769</v>
      </c>
      <c r="F100" s="60">
        <f t="shared" si="7"/>
        <v>-0.27600472813238769</v>
      </c>
    </row>
    <row r="101" spans="2:6" x14ac:dyDescent="0.25">
      <c r="B101" s="59">
        <v>4.75</v>
      </c>
      <c r="C101" s="59">
        <f t="shared" si="4"/>
        <v>0.25</v>
      </c>
      <c r="D101" s="62">
        <f t="shared" si="5"/>
        <v>2.5730994152046788E-2</v>
      </c>
      <c r="E101" s="61">
        <f t="shared" si="6"/>
        <v>0.27573099415204677</v>
      </c>
      <c r="F101" s="60">
        <f t="shared" si="7"/>
        <v>-0.27573099415204677</v>
      </c>
    </row>
    <row r="102" spans="2:6" x14ac:dyDescent="0.25">
      <c r="B102" s="59">
        <v>4.8</v>
      </c>
      <c r="C102" s="59">
        <f t="shared" si="4"/>
        <v>0.25</v>
      </c>
      <c r="D102" s="62">
        <f t="shared" si="5"/>
        <v>2.5462962962962965E-2</v>
      </c>
      <c r="E102" s="61">
        <f t="shared" si="6"/>
        <v>0.27546296296296297</v>
      </c>
      <c r="F102" s="60">
        <f t="shared" si="7"/>
        <v>-0.27546296296296297</v>
      </c>
    </row>
    <row r="103" spans="2:6" x14ac:dyDescent="0.25">
      <c r="B103" s="59">
        <v>4.8499999999999996</v>
      </c>
      <c r="C103" s="59">
        <f t="shared" si="4"/>
        <v>0.25</v>
      </c>
      <c r="D103" s="62">
        <f t="shared" si="5"/>
        <v>2.5200458190148919E-2</v>
      </c>
      <c r="E103" s="61">
        <f t="shared" si="6"/>
        <v>0.27520045819014893</v>
      </c>
      <c r="F103" s="60">
        <f t="shared" si="7"/>
        <v>-0.27520045819014893</v>
      </c>
    </row>
    <row r="104" spans="2:6" x14ac:dyDescent="0.25">
      <c r="B104" s="59">
        <v>4.9000000000000004</v>
      </c>
      <c r="C104" s="59">
        <f t="shared" si="4"/>
        <v>0.25</v>
      </c>
      <c r="D104" s="62">
        <f t="shared" si="5"/>
        <v>2.4943310657596373E-2</v>
      </c>
      <c r="E104" s="61">
        <f t="shared" si="6"/>
        <v>0.27494331065759636</v>
      </c>
      <c r="F104" s="60">
        <f t="shared" si="7"/>
        <v>-0.27494331065759636</v>
      </c>
    </row>
    <row r="105" spans="2:6" x14ac:dyDescent="0.25">
      <c r="B105" s="59">
        <v>4.95</v>
      </c>
      <c r="C105" s="59">
        <f t="shared" si="4"/>
        <v>0.25</v>
      </c>
      <c r="D105" s="62">
        <f t="shared" si="5"/>
        <v>2.469135802469136E-2</v>
      </c>
      <c r="E105" s="61">
        <f t="shared" si="6"/>
        <v>0.27469135802469136</v>
      </c>
      <c r="F105" s="60">
        <f t="shared" si="7"/>
        <v>-0.27469135802469136</v>
      </c>
    </row>
    <row r="106" spans="2:6" x14ac:dyDescent="0.25">
      <c r="B106" s="59">
        <v>5</v>
      </c>
      <c r="C106" s="59">
        <f t="shared" si="4"/>
        <v>0.25</v>
      </c>
      <c r="D106" s="62">
        <f t="shared" si="5"/>
        <v>2.4444444444444449E-2</v>
      </c>
      <c r="E106" s="61">
        <f t="shared" si="6"/>
        <v>0.27444444444444444</v>
      </c>
      <c r="F106" s="60">
        <f t="shared" si="7"/>
        <v>-0.27444444444444444</v>
      </c>
    </row>
    <row r="107" spans="2:6" x14ac:dyDescent="0.25">
      <c r="B107" s="59">
        <v>5.05</v>
      </c>
      <c r="C107" s="59">
        <f t="shared" si="4"/>
        <v>0.25</v>
      </c>
      <c r="D107" s="62">
        <f t="shared" si="5"/>
        <v>2.4202420242024208E-2</v>
      </c>
      <c r="E107" s="61">
        <f t="shared" si="6"/>
        <v>0.27420242024202424</v>
      </c>
      <c r="F107" s="60">
        <f t="shared" si="7"/>
        <v>-0.27420242024202424</v>
      </c>
    </row>
    <row r="108" spans="2:6" x14ac:dyDescent="0.25">
      <c r="B108" s="59">
        <v>5.0999999999999996</v>
      </c>
      <c r="C108" s="59">
        <f t="shared" si="4"/>
        <v>0.25</v>
      </c>
      <c r="D108" s="62">
        <f t="shared" si="5"/>
        <v>2.3965141612200442E-2</v>
      </c>
      <c r="E108" s="61">
        <f t="shared" si="6"/>
        <v>0.27396514161220042</v>
      </c>
      <c r="F108" s="60">
        <f t="shared" si="7"/>
        <v>-0.27396514161220042</v>
      </c>
    </row>
    <row r="109" spans="2:6" x14ac:dyDescent="0.25">
      <c r="B109" s="59">
        <v>5.15</v>
      </c>
      <c r="C109" s="59">
        <f t="shared" si="4"/>
        <v>0.25</v>
      </c>
      <c r="D109" s="62">
        <f t="shared" si="5"/>
        <v>2.3732470334412083E-2</v>
      </c>
      <c r="E109" s="61">
        <f t="shared" si="6"/>
        <v>0.27373247033441206</v>
      </c>
      <c r="F109" s="60">
        <f t="shared" si="7"/>
        <v>-0.27373247033441206</v>
      </c>
    </row>
    <row r="110" spans="2:6" x14ac:dyDescent="0.25">
      <c r="B110" s="59">
        <v>5.2</v>
      </c>
      <c r="C110" s="59">
        <f t="shared" si="4"/>
        <v>0.25</v>
      </c>
      <c r="D110" s="62">
        <f t="shared" si="5"/>
        <v>2.3504273504273508E-2</v>
      </c>
      <c r="E110" s="61">
        <f t="shared" si="6"/>
        <v>0.27350427350427353</v>
      </c>
      <c r="F110" s="60">
        <f t="shared" si="7"/>
        <v>-0.27350427350427353</v>
      </c>
    </row>
    <row r="111" spans="2:6" x14ac:dyDescent="0.25">
      <c r="B111" s="59">
        <v>5.25</v>
      </c>
      <c r="C111" s="59">
        <f t="shared" si="4"/>
        <v>0.25</v>
      </c>
      <c r="D111" s="62">
        <f t="shared" si="5"/>
        <v>2.3280423280423283E-2</v>
      </c>
      <c r="E111" s="61">
        <f t="shared" si="6"/>
        <v>0.27328042328042329</v>
      </c>
      <c r="F111" s="60">
        <f t="shared" si="7"/>
        <v>-0.27328042328042329</v>
      </c>
    </row>
    <row r="112" spans="2:6" x14ac:dyDescent="0.25">
      <c r="B112" s="59">
        <v>5.3</v>
      </c>
      <c r="C112" s="59">
        <f t="shared" si="4"/>
        <v>0.25</v>
      </c>
      <c r="D112" s="62">
        <f t="shared" si="5"/>
        <v>2.3060796645702309E-2</v>
      </c>
      <c r="E112" s="61">
        <f t="shared" si="6"/>
        <v>0.27306079664570232</v>
      </c>
      <c r="F112" s="60">
        <f t="shared" si="7"/>
        <v>-0.27306079664570232</v>
      </c>
    </row>
    <row r="113" spans="2:6" x14ac:dyDescent="0.25">
      <c r="B113" s="59">
        <v>5.35</v>
      </c>
      <c r="C113" s="59">
        <f t="shared" si="4"/>
        <v>0.25</v>
      </c>
      <c r="D113" s="62">
        <f t="shared" si="5"/>
        <v>2.2845275181723787E-2</v>
      </c>
      <c r="E113" s="61">
        <f t="shared" si="6"/>
        <v>0.2728452751817238</v>
      </c>
      <c r="F113" s="60">
        <f t="shared" si="7"/>
        <v>-0.2728452751817238</v>
      </c>
    </row>
    <row r="114" spans="2:6" x14ac:dyDescent="0.25">
      <c r="B114" s="59">
        <v>5.4</v>
      </c>
      <c r="C114" s="59">
        <f t="shared" si="4"/>
        <v>0.25</v>
      </c>
      <c r="D114" s="62">
        <f t="shared" si="5"/>
        <v>2.2633744855967079E-2</v>
      </c>
      <c r="E114" s="61">
        <f t="shared" si="6"/>
        <v>0.27263374485596709</v>
      </c>
      <c r="F114" s="60">
        <f t="shared" si="7"/>
        <v>-0.27263374485596709</v>
      </c>
    </row>
    <row r="115" spans="2:6" x14ac:dyDescent="0.25">
      <c r="B115" s="59">
        <v>5.45</v>
      </c>
      <c r="C115" s="59">
        <f t="shared" si="4"/>
        <v>0.25</v>
      </c>
      <c r="D115" s="62">
        <f t="shared" si="5"/>
        <v>2.2426095820591237E-2</v>
      </c>
      <c r="E115" s="61">
        <f t="shared" si="6"/>
        <v>0.27242609582059124</v>
      </c>
      <c r="F115" s="60">
        <f t="shared" si="7"/>
        <v>-0.27242609582059124</v>
      </c>
    </row>
    <row r="116" spans="2:6" x14ac:dyDescent="0.25">
      <c r="B116" s="59">
        <v>5.5</v>
      </c>
      <c r="C116" s="59">
        <f t="shared" si="4"/>
        <v>0.25</v>
      </c>
      <c r="D116" s="62">
        <f t="shared" si="5"/>
        <v>2.2222222222222227E-2</v>
      </c>
      <c r="E116" s="61">
        <f t="shared" si="6"/>
        <v>0.27222222222222225</v>
      </c>
      <c r="F116" s="60">
        <f t="shared" si="7"/>
        <v>-0.27222222222222225</v>
      </c>
    </row>
    <row r="117" spans="2:6" x14ac:dyDescent="0.25">
      <c r="B117" s="59">
        <v>5.55</v>
      </c>
      <c r="C117" s="59">
        <f t="shared" si="4"/>
        <v>0.25</v>
      </c>
      <c r="D117" s="62">
        <f t="shared" si="5"/>
        <v>2.2022022022022025E-2</v>
      </c>
      <c r="E117" s="61">
        <f t="shared" si="6"/>
        <v>0.27202202202202203</v>
      </c>
      <c r="F117" s="60">
        <f t="shared" si="7"/>
        <v>-0.27202202202202203</v>
      </c>
    </row>
    <row r="118" spans="2:6" x14ac:dyDescent="0.25">
      <c r="B118" s="59">
        <v>5.6</v>
      </c>
      <c r="C118" s="59">
        <f t="shared" si="4"/>
        <v>0.25</v>
      </c>
      <c r="D118" s="62">
        <f t="shared" si="5"/>
        <v>2.1825396825396831E-2</v>
      </c>
      <c r="E118" s="61">
        <f t="shared" si="6"/>
        <v>0.27182539682539686</v>
      </c>
      <c r="F118" s="60">
        <f t="shared" si="7"/>
        <v>-0.27182539682539686</v>
      </c>
    </row>
    <row r="119" spans="2:6" x14ac:dyDescent="0.25">
      <c r="B119" s="59">
        <v>5.65</v>
      </c>
      <c r="C119" s="59">
        <f t="shared" si="4"/>
        <v>0.25</v>
      </c>
      <c r="D119" s="62">
        <f t="shared" si="5"/>
        <v>2.1632251720747297E-2</v>
      </c>
      <c r="E119" s="61">
        <f t="shared" si="6"/>
        <v>0.27163225172074729</v>
      </c>
      <c r="F119" s="60">
        <f t="shared" si="7"/>
        <v>-0.27163225172074729</v>
      </c>
    </row>
    <row r="120" spans="2:6" x14ac:dyDescent="0.25">
      <c r="B120" s="59">
        <v>5.7</v>
      </c>
      <c r="C120" s="59">
        <f t="shared" si="4"/>
        <v>0.25</v>
      </c>
      <c r="D120" s="62">
        <f t="shared" si="5"/>
        <v>2.1442495126705655E-2</v>
      </c>
      <c r="E120" s="61">
        <f t="shared" si="6"/>
        <v>0.27144249512670565</v>
      </c>
      <c r="F120" s="60">
        <f t="shared" si="7"/>
        <v>-0.27144249512670565</v>
      </c>
    </row>
    <row r="121" spans="2:6" x14ac:dyDescent="0.25">
      <c r="B121" s="59">
        <v>5.75</v>
      </c>
      <c r="C121" s="59">
        <f t="shared" si="4"/>
        <v>0.25</v>
      </c>
      <c r="D121" s="62">
        <f t="shared" si="5"/>
        <v>2.1256038647343E-2</v>
      </c>
      <c r="E121" s="61">
        <f t="shared" si="6"/>
        <v>0.27125603864734299</v>
      </c>
      <c r="F121" s="60">
        <f t="shared" si="7"/>
        <v>-0.27125603864734299</v>
      </c>
    </row>
    <row r="122" spans="2:6" x14ac:dyDescent="0.25">
      <c r="B122" s="59">
        <v>5.8</v>
      </c>
      <c r="C122" s="59">
        <f t="shared" si="4"/>
        <v>0.25</v>
      </c>
      <c r="D122" s="62">
        <f t="shared" si="5"/>
        <v>2.1072796934865905E-2</v>
      </c>
      <c r="E122" s="61">
        <f t="shared" si="6"/>
        <v>0.27107279693486591</v>
      </c>
      <c r="F122" s="60">
        <f t="shared" si="7"/>
        <v>-0.27107279693486591</v>
      </c>
    </row>
    <row r="123" spans="2:6" x14ac:dyDescent="0.25">
      <c r="B123" s="59">
        <v>5.85</v>
      </c>
      <c r="C123" s="59">
        <f t="shared" si="4"/>
        <v>0.25</v>
      </c>
      <c r="D123" s="62">
        <f t="shared" si="5"/>
        <v>2.0892687559354233E-2</v>
      </c>
      <c r="E123" s="61">
        <f t="shared" si="6"/>
        <v>0.27089268755935425</v>
      </c>
      <c r="F123" s="60">
        <f t="shared" si="7"/>
        <v>-0.27089268755935425</v>
      </c>
    </row>
    <row r="124" spans="2:6" x14ac:dyDescent="0.25">
      <c r="B124" s="59">
        <v>5.9</v>
      </c>
      <c r="C124" s="59">
        <f t="shared" si="4"/>
        <v>0.25</v>
      </c>
      <c r="D124" s="62">
        <f t="shared" si="5"/>
        <v>2.0715630885122412E-2</v>
      </c>
      <c r="E124" s="61">
        <f t="shared" si="6"/>
        <v>0.2707156308851224</v>
      </c>
      <c r="F124" s="60">
        <f t="shared" si="7"/>
        <v>-0.2707156308851224</v>
      </c>
    </row>
    <row r="125" spans="2:6" x14ac:dyDescent="0.25">
      <c r="B125" s="59">
        <v>5.95</v>
      </c>
      <c r="C125" s="59">
        <f t="shared" si="4"/>
        <v>0.25</v>
      </c>
      <c r="D125" s="62">
        <f t="shared" si="5"/>
        <v>2.0541549953314663E-2</v>
      </c>
      <c r="E125" s="61">
        <f t="shared" si="6"/>
        <v>0.27054154995331464</v>
      </c>
      <c r="F125" s="60">
        <f t="shared" si="7"/>
        <v>-0.27054154995331464</v>
      </c>
    </row>
    <row r="126" spans="2:6" x14ac:dyDescent="0.25">
      <c r="B126" s="59">
        <v>6</v>
      </c>
      <c r="C126" s="59">
        <f t="shared" si="4"/>
        <v>0.25</v>
      </c>
      <c r="D126" s="62">
        <f t="shared" si="5"/>
        <v>2.0370370370370375E-2</v>
      </c>
      <c r="E126" s="61">
        <f t="shared" si="6"/>
        <v>0.27037037037037037</v>
      </c>
      <c r="F126" s="60">
        <f t="shared" si="7"/>
        <v>-0.27037037037037037</v>
      </c>
    </row>
    <row r="127" spans="2:6" x14ac:dyDescent="0.25">
      <c r="B127" s="59">
        <v>6.05</v>
      </c>
      <c r="C127" s="59">
        <f t="shared" si="4"/>
        <v>0.25</v>
      </c>
      <c r="D127" s="62">
        <f t="shared" si="5"/>
        <v>2.0202020202020204E-2</v>
      </c>
      <c r="E127" s="61">
        <f t="shared" si="6"/>
        <v>0.27020202020202022</v>
      </c>
      <c r="F127" s="60">
        <f t="shared" si="7"/>
        <v>-0.27020202020202022</v>
      </c>
    </row>
    <row r="128" spans="2:6" x14ac:dyDescent="0.25">
      <c r="B128" s="59">
        <v>6.1</v>
      </c>
      <c r="C128" s="59">
        <f t="shared" si="4"/>
        <v>0.25</v>
      </c>
      <c r="D128" s="62">
        <f t="shared" si="5"/>
        <v>2.0036429872495452E-2</v>
      </c>
      <c r="E128" s="61">
        <f t="shared" si="6"/>
        <v>0.27003642987249543</v>
      </c>
      <c r="F128" s="60">
        <f t="shared" si="7"/>
        <v>-0.27003642987249543</v>
      </c>
    </row>
    <row r="129" spans="2:6" x14ac:dyDescent="0.25">
      <c r="B129" s="59">
        <v>6.15</v>
      </c>
      <c r="C129" s="59">
        <f t="shared" si="4"/>
        <v>0.25</v>
      </c>
      <c r="D129" s="62">
        <f t="shared" si="5"/>
        <v>1.9873532068654023E-2</v>
      </c>
      <c r="E129" s="61">
        <f t="shared" si="6"/>
        <v>0.269873532068654</v>
      </c>
      <c r="F129" s="60">
        <f t="shared" si="7"/>
        <v>-0.269873532068654</v>
      </c>
    </row>
    <row r="130" spans="2:6" x14ac:dyDescent="0.25">
      <c r="B130" s="59">
        <v>6.2</v>
      </c>
      <c r="C130" s="59">
        <f t="shared" si="4"/>
        <v>0.25</v>
      </c>
      <c r="D130" s="62">
        <f t="shared" si="5"/>
        <v>1.9713261648745522E-2</v>
      </c>
      <c r="E130" s="61">
        <f t="shared" si="6"/>
        <v>0.26971326164874554</v>
      </c>
      <c r="F130" s="60">
        <f t="shared" si="7"/>
        <v>-0.26971326164874554</v>
      </c>
    </row>
    <row r="131" spans="2:6" x14ac:dyDescent="0.25">
      <c r="B131" s="59">
        <v>6.25</v>
      </c>
      <c r="C131" s="59">
        <f t="shared" si="4"/>
        <v>0.25</v>
      </c>
      <c r="D131" s="62">
        <f t="shared" si="5"/>
        <v>1.9555555555555559E-2</v>
      </c>
      <c r="E131" s="61">
        <f t="shared" si="6"/>
        <v>0.26955555555555555</v>
      </c>
      <c r="F131" s="60">
        <f t="shared" si="7"/>
        <v>-0.26955555555555555</v>
      </c>
    </row>
    <row r="132" spans="2:6" x14ac:dyDescent="0.25">
      <c r="B132" s="59">
        <v>6.3</v>
      </c>
      <c r="C132" s="59">
        <f t="shared" si="4"/>
        <v>0.25</v>
      </c>
      <c r="D132" s="62">
        <f t="shared" si="5"/>
        <v>1.9400352733686069E-2</v>
      </c>
      <c r="E132" s="61">
        <f t="shared" si="6"/>
        <v>0.26940035273368607</v>
      </c>
      <c r="F132" s="60">
        <f t="shared" si="7"/>
        <v>-0.26940035273368607</v>
      </c>
    </row>
    <row r="133" spans="2:6" x14ac:dyDescent="0.25">
      <c r="B133" s="59">
        <v>6.35</v>
      </c>
      <c r="C133" s="59">
        <f t="shared" si="4"/>
        <v>0.25</v>
      </c>
      <c r="D133" s="62">
        <f t="shared" si="5"/>
        <v>1.9247594050743663E-2</v>
      </c>
      <c r="E133" s="61">
        <f t="shared" si="6"/>
        <v>0.26924759405074367</v>
      </c>
      <c r="F133" s="60">
        <f t="shared" si="7"/>
        <v>-0.26924759405074367</v>
      </c>
    </row>
    <row r="134" spans="2:6" x14ac:dyDescent="0.25">
      <c r="B134" s="59">
        <v>6.4</v>
      </c>
      <c r="C134" s="59">
        <f t="shared" ref="C134:C197" si="8">$C$4</f>
        <v>0.25</v>
      </c>
      <c r="D134" s="62">
        <f t="shared" ref="D134:D197" si="9">$F$2/B134*100</f>
        <v>1.9097222222222224E-2</v>
      </c>
      <c r="E134" s="61">
        <f t="shared" ref="E134:E197" si="10">C134+D134</f>
        <v>0.26909722222222221</v>
      </c>
      <c r="F134" s="60">
        <f t="shared" ref="F134:F197" si="11">E134*-1</f>
        <v>-0.26909722222222221</v>
      </c>
    </row>
    <row r="135" spans="2:6" x14ac:dyDescent="0.25">
      <c r="B135" s="59">
        <v>6.45</v>
      </c>
      <c r="C135" s="59">
        <f t="shared" si="8"/>
        <v>0.25</v>
      </c>
      <c r="D135" s="62">
        <f t="shared" si="9"/>
        <v>1.8949181739879417E-2</v>
      </c>
      <c r="E135" s="61">
        <f t="shared" si="10"/>
        <v>0.26894918173987942</v>
      </c>
      <c r="F135" s="60">
        <f t="shared" si="11"/>
        <v>-0.26894918173987942</v>
      </c>
    </row>
    <row r="136" spans="2:6" x14ac:dyDescent="0.25">
      <c r="B136" s="59">
        <v>6.5</v>
      </c>
      <c r="C136" s="59">
        <f t="shared" si="8"/>
        <v>0.25</v>
      </c>
      <c r="D136" s="62">
        <f t="shared" si="9"/>
        <v>1.8803418803418806E-2</v>
      </c>
      <c r="E136" s="61">
        <f t="shared" si="10"/>
        <v>0.26880341880341879</v>
      </c>
      <c r="F136" s="60">
        <f t="shared" si="11"/>
        <v>-0.26880341880341879</v>
      </c>
    </row>
    <row r="137" spans="2:6" x14ac:dyDescent="0.25">
      <c r="B137" s="59">
        <v>6.55</v>
      </c>
      <c r="C137" s="59">
        <f t="shared" si="8"/>
        <v>0.25</v>
      </c>
      <c r="D137" s="62">
        <f t="shared" si="9"/>
        <v>1.8659881255301106E-2</v>
      </c>
      <c r="E137" s="61">
        <f t="shared" si="10"/>
        <v>0.2686598812553011</v>
      </c>
      <c r="F137" s="60">
        <f t="shared" si="11"/>
        <v>-0.2686598812553011</v>
      </c>
    </row>
    <row r="138" spans="2:6" x14ac:dyDescent="0.25">
      <c r="B138" s="59">
        <v>6.6</v>
      </c>
      <c r="C138" s="59">
        <f t="shared" si="8"/>
        <v>0.25</v>
      </c>
      <c r="D138" s="62">
        <f t="shared" si="9"/>
        <v>1.8518518518518524E-2</v>
      </c>
      <c r="E138" s="61">
        <f t="shared" si="10"/>
        <v>0.26851851851851855</v>
      </c>
      <c r="F138" s="60">
        <f t="shared" si="11"/>
        <v>-0.26851851851851855</v>
      </c>
    </row>
    <row r="139" spans="2:6" x14ac:dyDescent="0.25">
      <c r="B139" s="59">
        <v>6.65</v>
      </c>
      <c r="C139" s="59">
        <f t="shared" si="8"/>
        <v>0.25</v>
      </c>
      <c r="D139" s="62">
        <f t="shared" si="9"/>
        <v>1.8379281537176276E-2</v>
      </c>
      <c r="E139" s="61">
        <f t="shared" si="10"/>
        <v>0.26837928153717627</v>
      </c>
      <c r="F139" s="60">
        <f t="shared" si="11"/>
        <v>-0.26837928153717627</v>
      </c>
    </row>
    <row r="140" spans="2:6" x14ac:dyDescent="0.25">
      <c r="B140" s="59">
        <v>6.7</v>
      </c>
      <c r="C140" s="59">
        <f t="shared" si="8"/>
        <v>0.25</v>
      </c>
      <c r="D140" s="62">
        <f t="shared" si="9"/>
        <v>1.8242122719734664E-2</v>
      </c>
      <c r="E140" s="61">
        <f t="shared" si="10"/>
        <v>0.26824212271973469</v>
      </c>
      <c r="F140" s="60">
        <f t="shared" si="11"/>
        <v>-0.26824212271973469</v>
      </c>
    </row>
    <row r="141" spans="2:6" x14ac:dyDescent="0.25">
      <c r="B141" s="59">
        <v>6.75</v>
      </c>
      <c r="C141" s="59">
        <f t="shared" si="8"/>
        <v>0.25</v>
      </c>
      <c r="D141" s="62">
        <f t="shared" si="9"/>
        <v>1.8106995884773665E-2</v>
      </c>
      <c r="E141" s="61">
        <f t="shared" si="10"/>
        <v>0.26810699588477366</v>
      </c>
      <c r="F141" s="60">
        <f t="shared" si="11"/>
        <v>-0.26810699588477366</v>
      </c>
    </row>
    <row r="142" spans="2:6" x14ac:dyDescent="0.25">
      <c r="B142" s="59">
        <v>6.8</v>
      </c>
      <c r="C142" s="59">
        <f t="shared" si="8"/>
        <v>0.25</v>
      </c>
      <c r="D142" s="62">
        <f t="shared" si="9"/>
        <v>1.7973856209150332E-2</v>
      </c>
      <c r="E142" s="61">
        <f t="shared" si="10"/>
        <v>0.26797385620915032</v>
      </c>
      <c r="F142" s="60">
        <f t="shared" si="11"/>
        <v>-0.26797385620915032</v>
      </c>
    </row>
    <row r="143" spans="2:6" x14ac:dyDescent="0.25">
      <c r="B143" s="59">
        <v>6.85</v>
      </c>
      <c r="C143" s="59">
        <f t="shared" si="8"/>
        <v>0.25</v>
      </c>
      <c r="D143" s="62">
        <f t="shared" si="9"/>
        <v>1.7842660178426607E-2</v>
      </c>
      <c r="E143" s="61">
        <f t="shared" si="10"/>
        <v>0.26784266017842662</v>
      </c>
      <c r="F143" s="60">
        <f t="shared" si="11"/>
        <v>-0.26784266017842662</v>
      </c>
    </row>
    <row r="144" spans="2:6" x14ac:dyDescent="0.25">
      <c r="B144" s="59">
        <v>6.9</v>
      </c>
      <c r="C144" s="59">
        <f t="shared" si="8"/>
        <v>0.25</v>
      </c>
      <c r="D144" s="62">
        <f t="shared" si="9"/>
        <v>1.7713365539452498E-2</v>
      </c>
      <c r="E144" s="61">
        <f t="shared" si="10"/>
        <v>0.26771336553945252</v>
      </c>
      <c r="F144" s="60">
        <f t="shared" si="11"/>
        <v>-0.26771336553945252</v>
      </c>
    </row>
    <row r="145" spans="2:6" x14ac:dyDescent="0.25">
      <c r="B145" s="59">
        <v>6.95</v>
      </c>
      <c r="C145" s="59">
        <f t="shared" si="8"/>
        <v>0.25</v>
      </c>
      <c r="D145" s="62">
        <f t="shared" si="9"/>
        <v>1.7585931254996006E-2</v>
      </c>
      <c r="E145" s="61">
        <f t="shared" si="10"/>
        <v>0.26758593125499602</v>
      </c>
      <c r="F145" s="60">
        <f t="shared" si="11"/>
        <v>-0.26758593125499602</v>
      </c>
    </row>
    <row r="146" spans="2:6" x14ac:dyDescent="0.25">
      <c r="B146" s="59">
        <v>7</v>
      </c>
      <c r="C146" s="59">
        <f t="shared" si="8"/>
        <v>0.25</v>
      </c>
      <c r="D146" s="62">
        <f t="shared" si="9"/>
        <v>1.7460317460317461E-2</v>
      </c>
      <c r="E146" s="61">
        <f t="shared" si="10"/>
        <v>0.26746031746031745</v>
      </c>
      <c r="F146" s="60">
        <f t="shared" si="11"/>
        <v>-0.26746031746031745</v>
      </c>
    </row>
    <row r="147" spans="2:6" x14ac:dyDescent="0.25">
      <c r="B147" s="59">
        <v>7.05</v>
      </c>
      <c r="C147" s="59">
        <f t="shared" si="8"/>
        <v>0.25</v>
      </c>
      <c r="D147" s="62">
        <f t="shared" si="9"/>
        <v>1.7336485421591805E-2</v>
      </c>
      <c r="E147" s="61">
        <f t="shared" si="10"/>
        <v>0.26733648542159183</v>
      </c>
      <c r="F147" s="60">
        <f t="shared" si="11"/>
        <v>-0.26733648542159183</v>
      </c>
    </row>
    <row r="148" spans="2:6" x14ac:dyDescent="0.25">
      <c r="B148" s="59">
        <v>7.1</v>
      </c>
      <c r="C148" s="59">
        <f t="shared" si="8"/>
        <v>0.25</v>
      </c>
      <c r="D148" s="62">
        <f t="shared" si="9"/>
        <v>1.7214397496087643E-2</v>
      </c>
      <c r="E148" s="61">
        <f t="shared" si="10"/>
        <v>0.26721439749608766</v>
      </c>
      <c r="F148" s="60">
        <f t="shared" si="11"/>
        <v>-0.26721439749608766</v>
      </c>
    </row>
    <row r="149" spans="2:6" x14ac:dyDescent="0.25">
      <c r="B149" s="59">
        <v>7.15</v>
      </c>
      <c r="C149" s="59">
        <f t="shared" si="8"/>
        <v>0.25</v>
      </c>
      <c r="D149" s="62">
        <f t="shared" si="9"/>
        <v>1.7094017094017096E-2</v>
      </c>
      <c r="E149" s="61">
        <f t="shared" si="10"/>
        <v>0.26709401709401709</v>
      </c>
      <c r="F149" s="60">
        <f t="shared" si="11"/>
        <v>-0.26709401709401709</v>
      </c>
    </row>
    <row r="150" spans="2:6" x14ac:dyDescent="0.25">
      <c r="B150" s="59">
        <v>7.2</v>
      </c>
      <c r="C150" s="59">
        <f t="shared" si="8"/>
        <v>0.25</v>
      </c>
      <c r="D150" s="62">
        <f t="shared" si="9"/>
        <v>1.6975308641975311E-2</v>
      </c>
      <c r="E150" s="61">
        <f t="shared" si="10"/>
        <v>0.26697530864197533</v>
      </c>
      <c r="F150" s="60">
        <f t="shared" si="11"/>
        <v>-0.26697530864197533</v>
      </c>
    </row>
    <row r="151" spans="2:6" x14ac:dyDescent="0.25">
      <c r="B151" s="59">
        <f t="shared" ref="B151:B214" si="12">B150+0.05</f>
        <v>7.25</v>
      </c>
      <c r="C151" s="59">
        <f t="shared" si="8"/>
        <v>0.25</v>
      </c>
      <c r="D151" s="62">
        <f t="shared" si="9"/>
        <v>1.6858237547892722E-2</v>
      </c>
      <c r="E151" s="61">
        <f t="shared" si="10"/>
        <v>0.26685823754789273</v>
      </c>
      <c r="F151" s="60">
        <f t="shared" si="11"/>
        <v>-0.26685823754789273</v>
      </c>
    </row>
    <row r="152" spans="2:6" x14ac:dyDescent="0.25">
      <c r="B152" s="59">
        <f t="shared" si="12"/>
        <v>7.3</v>
      </c>
      <c r="C152" s="59">
        <f t="shared" si="8"/>
        <v>0.25</v>
      </c>
      <c r="D152" s="62">
        <f t="shared" si="9"/>
        <v>1.6742770167427704E-2</v>
      </c>
      <c r="E152" s="61">
        <f t="shared" si="10"/>
        <v>0.2667427701674277</v>
      </c>
      <c r="F152" s="60">
        <f t="shared" si="11"/>
        <v>-0.2667427701674277</v>
      </c>
    </row>
    <row r="153" spans="2:6" x14ac:dyDescent="0.25">
      <c r="B153" s="59">
        <f t="shared" si="12"/>
        <v>7.35</v>
      </c>
      <c r="C153" s="59">
        <f t="shared" si="8"/>
        <v>0.25</v>
      </c>
      <c r="D153" s="62">
        <f t="shared" si="9"/>
        <v>1.6628873771730918E-2</v>
      </c>
      <c r="E153" s="61">
        <f t="shared" si="10"/>
        <v>0.26662887377173095</v>
      </c>
      <c r="F153" s="60">
        <f t="shared" si="11"/>
        <v>-0.26662887377173095</v>
      </c>
    </row>
    <row r="154" spans="2:6" x14ac:dyDescent="0.25">
      <c r="B154" s="59">
        <f t="shared" si="12"/>
        <v>7.3999999999999995</v>
      </c>
      <c r="C154" s="59">
        <f t="shared" si="8"/>
        <v>0.25</v>
      </c>
      <c r="D154" s="62">
        <f t="shared" si="9"/>
        <v>1.6516516516516519E-2</v>
      </c>
      <c r="E154" s="61">
        <f t="shared" si="10"/>
        <v>0.26651651651651653</v>
      </c>
      <c r="F154" s="60">
        <f t="shared" si="11"/>
        <v>-0.26651651651651653</v>
      </c>
    </row>
    <row r="155" spans="2:6" x14ac:dyDescent="0.25">
      <c r="B155" s="59">
        <f t="shared" si="12"/>
        <v>7.4499999999999993</v>
      </c>
      <c r="C155" s="59">
        <f t="shared" si="8"/>
        <v>0.25</v>
      </c>
      <c r="D155" s="62">
        <f t="shared" si="9"/>
        <v>1.6405667412378824E-2</v>
      </c>
      <c r="E155" s="61">
        <f t="shared" si="10"/>
        <v>0.26640566741237881</v>
      </c>
      <c r="F155" s="60">
        <f t="shared" si="11"/>
        <v>-0.26640566741237881</v>
      </c>
    </row>
    <row r="156" spans="2:6" x14ac:dyDescent="0.25">
      <c r="B156" s="59">
        <f t="shared" si="12"/>
        <v>7.4999999999999991</v>
      </c>
      <c r="C156" s="59">
        <f t="shared" si="8"/>
        <v>0.25</v>
      </c>
      <c r="D156" s="62">
        <f t="shared" si="9"/>
        <v>1.6296296296296302E-2</v>
      </c>
      <c r="E156" s="61">
        <f t="shared" si="10"/>
        <v>0.26629629629629631</v>
      </c>
      <c r="F156" s="60">
        <f t="shared" si="11"/>
        <v>-0.26629629629629631</v>
      </c>
    </row>
    <row r="157" spans="2:6" x14ac:dyDescent="0.25">
      <c r="B157" s="59">
        <f t="shared" si="12"/>
        <v>7.5499999999999989</v>
      </c>
      <c r="C157" s="59">
        <f t="shared" si="8"/>
        <v>0.25</v>
      </c>
      <c r="D157" s="62">
        <f t="shared" si="9"/>
        <v>1.6188373804267849E-2</v>
      </c>
      <c r="E157" s="61">
        <f t="shared" si="10"/>
        <v>0.26618837380426785</v>
      </c>
      <c r="F157" s="60">
        <f t="shared" si="11"/>
        <v>-0.26618837380426785</v>
      </c>
    </row>
    <row r="158" spans="2:6" x14ac:dyDescent="0.25">
      <c r="B158" s="59">
        <f t="shared" si="12"/>
        <v>7.5999999999999988</v>
      </c>
      <c r="C158" s="59">
        <f t="shared" si="8"/>
        <v>0.25</v>
      </c>
      <c r="D158" s="62">
        <f t="shared" si="9"/>
        <v>1.6081871345029246E-2</v>
      </c>
      <c r="E158" s="61">
        <f t="shared" si="10"/>
        <v>0.26608187134502925</v>
      </c>
      <c r="F158" s="60">
        <f t="shared" si="11"/>
        <v>-0.26608187134502925</v>
      </c>
    </row>
    <row r="159" spans="2:6" x14ac:dyDescent="0.25">
      <c r="B159" s="59">
        <f t="shared" si="12"/>
        <v>7.6499999999999986</v>
      </c>
      <c r="C159" s="59">
        <f t="shared" si="8"/>
        <v>0.25</v>
      </c>
      <c r="D159" s="62">
        <f t="shared" si="9"/>
        <v>1.5976761074800297E-2</v>
      </c>
      <c r="E159" s="61">
        <f t="shared" si="10"/>
        <v>0.26597676107480028</v>
      </c>
      <c r="F159" s="60">
        <f t="shared" si="11"/>
        <v>-0.26597676107480028</v>
      </c>
    </row>
    <row r="160" spans="2:6" x14ac:dyDescent="0.25">
      <c r="B160" s="59">
        <f t="shared" si="12"/>
        <v>7.6999999999999984</v>
      </c>
      <c r="C160" s="59">
        <f t="shared" si="8"/>
        <v>0.25</v>
      </c>
      <c r="D160" s="62">
        <f t="shared" si="9"/>
        <v>1.5873015873015879E-2</v>
      </c>
      <c r="E160" s="61">
        <f t="shared" si="10"/>
        <v>0.26587301587301587</v>
      </c>
      <c r="F160" s="60">
        <f t="shared" si="11"/>
        <v>-0.26587301587301587</v>
      </c>
    </row>
    <row r="161" spans="2:6" x14ac:dyDescent="0.25">
      <c r="B161" s="59">
        <f t="shared" si="12"/>
        <v>7.7499999999999982</v>
      </c>
      <c r="C161" s="59">
        <f t="shared" si="8"/>
        <v>0.25</v>
      </c>
      <c r="D161" s="62">
        <f t="shared" si="9"/>
        <v>1.5770609318996421E-2</v>
      </c>
      <c r="E161" s="61">
        <f t="shared" si="10"/>
        <v>0.26577060931899643</v>
      </c>
      <c r="F161" s="60">
        <f t="shared" si="11"/>
        <v>-0.26577060931899643</v>
      </c>
    </row>
    <row r="162" spans="2:6" x14ac:dyDescent="0.25">
      <c r="B162" s="59">
        <f t="shared" si="12"/>
        <v>7.799999999999998</v>
      </c>
      <c r="C162" s="59">
        <f t="shared" si="8"/>
        <v>0.25</v>
      </c>
      <c r="D162" s="62">
        <f t="shared" si="9"/>
        <v>1.5669515669515677E-2</v>
      </c>
      <c r="E162" s="61">
        <f t="shared" si="10"/>
        <v>0.26566951566951569</v>
      </c>
      <c r="F162" s="60">
        <f t="shared" si="11"/>
        <v>-0.26566951566951569</v>
      </c>
    </row>
    <row r="163" spans="2:6" x14ac:dyDescent="0.25">
      <c r="B163" s="59">
        <f t="shared" si="12"/>
        <v>7.8499999999999979</v>
      </c>
      <c r="C163" s="59">
        <f t="shared" si="8"/>
        <v>0.25</v>
      </c>
      <c r="D163" s="62">
        <f t="shared" si="9"/>
        <v>1.5569709837225769E-2</v>
      </c>
      <c r="E163" s="61">
        <f t="shared" si="10"/>
        <v>0.26556970983722578</v>
      </c>
      <c r="F163" s="60">
        <f t="shared" si="11"/>
        <v>-0.26556970983722578</v>
      </c>
    </row>
    <row r="164" spans="2:6" x14ac:dyDescent="0.25">
      <c r="B164" s="59">
        <f t="shared" si="12"/>
        <v>7.8999999999999977</v>
      </c>
      <c r="C164" s="59">
        <f t="shared" si="8"/>
        <v>0.25</v>
      </c>
      <c r="D164" s="62">
        <f t="shared" si="9"/>
        <v>1.5471167369901555E-2</v>
      </c>
      <c r="E164" s="61">
        <f t="shared" si="10"/>
        <v>0.26547116736990156</v>
      </c>
      <c r="F164" s="60">
        <f t="shared" si="11"/>
        <v>-0.26547116736990156</v>
      </c>
    </row>
    <row r="165" spans="2:6" x14ac:dyDescent="0.25">
      <c r="B165" s="59">
        <f t="shared" si="12"/>
        <v>7.9499999999999975</v>
      </c>
      <c r="C165" s="59">
        <f t="shared" si="8"/>
        <v>0.25</v>
      </c>
      <c r="D165" s="62">
        <f t="shared" si="9"/>
        <v>1.5373864430468211E-2</v>
      </c>
      <c r="E165" s="61">
        <f t="shared" si="10"/>
        <v>0.26537386443046823</v>
      </c>
      <c r="F165" s="60">
        <f t="shared" si="11"/>
        <v>-0.26537386443046823</v>
      </c>
    </row>
    <row r="166" spans="2:6" x14ac:dyDescent="0.25">
      <c r="B166" s="59">
        <f t="shared" si="12"/>
        <v>7.9999999999999973</v>
      </c>
      <c r="C166" s="59">
        <f t="shared" si="8"/>
        <v>0.25</v>
      </c>
      <c r="D166" s="62">
        <f t="shared" si="9"/>
        <v>1.5277777777777786E-2</v>
      </c>
      <c r="E166" s="61">
        <f t="shared" si="10"/>
        <v>0.26527777777777778</v>
      </c>
      <c r="F166" s="60">
        <f t="shared" si="11"/>
        <v>-0.26527777777777778</v>
      </c>
    </row>
    <row r="167" spans="2:6" x14ac:dyDescent="0.25">
      <c r="B167" s="59">
        <f t="shared" si="12"/>
        <v>8.0499999999999972</v>
      </c>
      <c r="C167" s="59">
        <f t="shared" si="8"/>
        <v>0.25</v>
      </c>
      <c r="D167" s="62">
        <f t="shared" si="9"/>
        <v>1.5182884748102147E-2</v>
      </c>
      <c r="E167" s="61">
        <f t="shared" si="10"/>
        <v>0.26518288474810214</v>
      </c>
      <c r="F167" s="60">
        <f t="shared" si="11"/>
        <v>-0.26518288474810214</v>
      </c>
    </row>
    <row r="168" spans="2:6" x14ac:dyDescent="0.25">
      <c r="B168" s="59">
        <f t="shared" si="12"/>
        <v>8.0999999999999979</v>
      </c>
      <c r="C168" s="59">
        <f t="shared" si="8"/>
        <v>0.25</v>
      </c>
      <c r="D168" s="62">
        <f t="shared" si="9"/>
        <v>1.5089163237311392E-2</v>
      </c>
      <c r="E168" s="61">
        <f t="shared" si="10"/>
        <v>0.26508916323731141</v>
      </c>
      <c r="F168" s="60">
        <f t="shared" si="11"/>
        <v>-0.26508916323731141</v>
      </c>
    </row>
    <row r="169" spans="2:6" x14ac:dyDescent="0.25">
      <c r="B169" s="59">
        <f t="shared" si="12"/>
        <v>8.1499999999999986</v>
      </c>
      <c r="C169" s="59">
        <f t="shared" si="8"/>
        <v>0.25</v>
      </c>
      <c r="D169" s="62">
        <f t="shared" si="9"/>
        <v>1.4996591683708252E-2</v>
      </c>
      <c r="E169" s="61">
        <f t="shared" si="10"/>
        <v>0.26499659168370826</v>
      </c>
      <c r="F169" s="60">
        <f t="shared" si="11"/>
        <v>-0.26499659168370826</v>
      </c>
    </row>
    <row r="170" spans="2:6" x14ac:dyDescent="0.25">
      <c r="B170" s="59">
        <f t="shared" si="12"/>
        <v>8.1999999999999993</v>
      </c>
      <c r="C170" s="59">
        <f t="shared" si="8"/>
        <v>0.25</v>
      </c>
      <c r="D170" s="62">
        <f t="shared" si="9"/>
        <v>1.4905149051490518E-2</v>
      </c>
      <c r="E170" s="61">
        <f t="shared" si="10"/>
        <v>0.26490514905149054</v>
      </c>
      <c r="F170" s="60">
        <f t="shared" si="11"/>
        <v>-0.26490514905149054</v>
      </c>
    </row>
    <row r="171" spans="2:6" x14ac:dyDescent="0.25">
      <c r="B171" s="59">
        <f t="shared" si="12"/>
        <v>8.25</v>
      </c>
      <c r="C171" s="59">
        <f t="shared" si="8"/>
        <v>0.25</v>
      </c>
      <c r="D171" s="62">
        <f t="shared" si="9"/>
        <v>1.4814814814814817E-2</v>
      </c>
      <c r="E171" s="61">
        <f t="shared" si="10"/>
        <v>0.26481481481481484</v>
      </c>
      <c r="F171" s="60">
        <f t="shared" si="11"/>
        <v>-0.26481481481481484</v>
      </c>
    </row>
    <row r="172" spans="2:6" x14ac:dyDescent="0.25">
      <c r="B172" s="59">
        <f t="shared" si="12"/>
        <v>8.3000000000000007</v>
      </c>
      <c r="C172" s="59">
        <f t="shared" si="8"/>
        <v>0.25</v>
      </c>
      <c r="D172" s="62">
        <f t="shared" si="9"/>
        <v>1.4725568942436413E-2</v>
      </c>
      <c r="E172" s="61">
        <f t="shared" si="10"/>
        <v>0.26472556894243643</v>
      </c>
      <c r="F172" s="60">
        <f t="shared" si="11"/>
        <v>-0.26472556894243643</v>
      </c>
    </row>
    <row r="173" spans="2:6" x14ac:dyDescent="0.25">
      <c r="B173" s="59">
        <f t="shared" si="12"/>
        <v>8.3500000000000014</v>
      </c>
      <c r="C173" s="59">
        <f t="shared" si="8"/>
        <v>0.25</v>
      </c>
      <c r="D173" s="62">
        <f t="shared" si="9"/>
        <v>1.4637391882900863E-2</v>
      </c>
      <c r="E173" s="61">
        <f t="shared" si="10"/>
        <v>0.26463739188290086</v>
      </c>
      <c r="F173" s="60">
        <f t="shared" si="11"/>
        <v>-0.26463739188290086</v>
      </c>
    </row>
    <row r="174" spans="2:6" x14ac:dyDescent="0.25">
      <c r="B174" s="59">
        <f t="shared" si="12"/>
        <v>8.4000000000000021</v>
      </c>
      <c r="C174" s="59">
        <f t="shared" si="8"/>
        <v>0.25</v>
      </c>
      <c r="D174" s="62">
        <f t="shared" si="9"/>
        <v>1.4550264550264549E-2</v>
      </c>
      <c r="E174" s="61">
        <f t="shared" si="10"/>
        <v>0.26455026455026454</v>
      </c>
      <c r="F174" s="60">
        <f t="shared" si="11"/>
        <v>-0.26455026455026454</v>
      </c>
    </row>
    <row r="175" spans="2:6" x14ac:dyDescent="0.25">
      <c r="B175" s="59">
        <f t="shared" si="12"/>
        <v>8.4500000000000028</v>
      </c>
      <c r="C175" s="59">
        <f t="shared" si="8"/>
        <v>0.25</v>
      </c>
      <c r="D175" s="62">
        <f t="shared" si="9"/>
        <v>1.4464168310322155E-2</v>
      </c>
      <c r="E175" s="61">
        <f t="shared" si="10"/>
        <v>0.26446416831032216</v>
      </c>
      <c r="F175" s="60">
        <f t="shared" si="11"/>
        <v>-0.26446416831032216</v>
      </c>
    </row>
    <row r="176" spans="2:6" x14ac:dyDescent="0.25">
      <c r="B176" s="59">
        <f t="shared" si="12"/>
        <v>8.5000000000000036</v>
      </c>
      <c r="C176" s="59">
        <f t="shared" si="8"/>
        <v>0.25</v>
      </c>
      <c r="D176" s="62">
        <f t="shared" si="9"/>
        <v>1.4379084967320257E-2</v>
      </c>
      <c r="E176" s="61">
        <f t="shared" si="10"/>
        <v>0.26437908496732027</v>
      </c>
      <c r="F176" s="60">
        <f t="shared" si="11"/>
        <v>-0.26437908496732027</v>
      </c>
    </row>
    <row r="177" spans="2:6" x14ac:dyDescent="0.25">
      <c r="B177" s="59">
        <f t="shared" si="12"/>
        <v>8.5500000000000043</v>
      </c>
      <c r="C177" s="59">
        <f t="shared" si="8"/>
        <v>0.25</v>
      </c>
      <c r="D177" s="62">
        <f t="shared" si="9"/>
        <v>1.4294996751137098E-2</v>
      </c>
      <c r="E177" s="61">
        <f t="shared" si="10"/>
        <v>0.2642949967511371</v>
      </c>
      <c r="F177" s="60">
        <f t="shared" si="11"/>
        <v>-0.2642949967511371</v>
      </c>
    </row>
    <row r="178" spans="2:6" x14ac:dyDescent="0.25">
      <c r="B178" s="59">
        <f t="shared" si="12"/>
        <v>8.600000000000005</v>
      </c>
      <c r="C178" s="59">
        <f t="shared" si="8"/>
        <v>0.25</v>
      </c>
      <c r="D178" s="62">
        <f t="shared" si="9"/>
        <v>1.4211886304909554E-2</v>
      </c>
      <c r="E178" s="61">
        <f t="shared" si="10"/>
        <v>0.26421188630490955</v>
      </c>
      <c r="F178" s="60">
        <f t="shared" si="11"/>
        <v>-0.26421188630490955</v>
      </c>
    </row>
    <row r="179" spans="2:6" x14ac:dyDescent="0.25">
      <c r="B179" s="59">
        <f t="shared" si="12"/>
        <v>8.6500000000000057</v>
      </c>
      <c r="C179" s="59">
        <f t="shared" si="8"/>
        <v>0.25</v>
      </c>
      <c r="D179" s="62">
        <f t="shared" si="9"/>
        <v>1.4129736673089267E-2</v>
      </c>
      <c r="E179" s="61">
        <f t="shared" si="10"/>
        <v>0.26412973667308925</v>
      </c>
      <c r="F179" s="60">
        <f t="shared" si="11"/>
        <v>-0.26412973667308925</v>
      </c>
    </row>
    <row r="180" spans="2:6" x14ac:dyDescent="0.25">
      <c r="B180" s="59">
        <f t="shared" si="12"/>
        <v>8.7000000000000064</v>
      </c>
      <c r="C180" s="59">
        <f t="shared" si="8"/>
        <v>0.25</v>
      </c>
      <c r="D180" s="62">
        <f t="shared" si="9"/>
        <v>1.4048531289910592E-2</v>
      </c>
      <c r="E180" s="61">
        <f t="shared" si="10"/>
        <v>0.26404853128991057</v>
      </c>
      <c r="F180" s="60">
        <f t="shared" si="11"/>
        <v>-0.26404853128991057</v>
      </c>
    </row>
    <row r="181" spans="2:6" x14ac:dyDescent="0.25">
      <c r="B181" s="59">
        <f t="shared" si="12"/>
        <v>8.7500000000000071</v>
      </c>
      <c r="C181" s="59">
        <f t="shared" si="8"/>
        <v>0.25</v>
      </c>
      <c r="D181" s="62">
        <f t="shared" si="9"/>
        <v>1.396825396825396E-2</v>
      </c>
      <c r="E181" s="61">
        <f t="shared" si="10"/>
        <v>0.26396825396825396</v>
      </c>
      <c r="F181" s="60">
        <f t="shared" si="11"/>
        <v>-0.26396825396825396</v>
      </c>
    </row>
    <row r="182" spans="2:6" x14ac:dyDescent="0.25">
      <c r="B182" s="59">
        <f t="shared" si="12"/>
        <v>8.8000000000000078</v>
      </c>
      <c r="C182" s="59">
        <f t="shared" si="8"/>
        <v>0.25</v>
      </c>
      <c r="D182" s="62">
        <f t="shared" si="9"/>
        <v>1.3888888888888878E-2</v>
      </c>
      <c r="E182" s="61">
        <f t="shared" si="10"/>
        <v>0.2638888888888889</v>
      </c>
      <c r="F182" s="60">
        <f t="shared" si="11"/>
        <v>-0.2638888888888889</v>
      </c>
    </row>
    <row r="183" spans="2:6" x14ac:dyDescent="0.25">
      <c r="B183" s="59">
        <f t="shared" si="12"/>
        <v>8.8500000000000085</v>
      </c>
      <c r="C183" s="59">
        <f t="shared" si="8"/>
        <v>0.25</v>
      </c>
      <c r="D183" s="62">
        <f t="shared" si="9"/>
        <v>1.3810420590081597E-2</v>
      </c>
      <c r="E183" s="61">
        <f t="shared" si="10"/>
        <v>0.26381042059008158</v>
      </c>
      <c r="F183" s="60">
        <f t="shared" si="11"/>
        <v>-0.26381042059008158</v>
      </c>
    </row>
    <row r="184" spans="2:6" x14ac:dyDescent="0.25">
      <c r="B184" s="59">
        <f t="shared" si="12"/>
        <v>8.9000000000000092</v>
      </c>
      <c r="C184" s="59">
        <f t="shared" si="8"/>
        <v>0.25</v>
      </c>
      <c r="D184" s="62">
        <f t="shared" si="9"/>
        <v>1.3732833957553047E-2</v>
      </c>
      <c r="E184" s="61">
        <f t="shared" si="10"/>
        <v>0.26373283395755304</v>
      </c>
      <c r="F184" s="60">
        <f t="shared" si="11"/>
        <v>-0.26373283395755304</v>
      </c>
    </row>
    <row r="185" spans="2:6" x14ac:dyDescent="0.25">
      <c r="B185" s="59">
        <f t="shared" si="12"/>
        <v>8.9500000000000099</v>
      </c>
      <c r="C185" s="59">
        <f t="shared" si="8"/>
        <v>0.25</v>
      </c>
      <c r="D185" s="62">
        <f t="shared" si="9"/>
        <v>1.365611421477342E-2</v>
      </c>
      <c r="E185" s="61">
        <f t="shared" si="10"/>
        <v>0.26365611421477342</v>
      </c>
      <c r="F185" s="60">
        <f t="shared" si="11"/>
        <v>-0.26365611421477342</v>
      </c>
    </row>
    <row r="186" spans="2:6" x14ac:dyDescent="0.25">
      <c r="B186" s="59">
        <f t="shared" si="12"/>
        <v>9.0000000000000107</v>
      </c>
      <c r="C186" s="59">
        <f t="shared" si="8"/>
        <v>0.25</v>
      </c>
      <c r="D186" s="62">
        <f t="shared" si="9"/>
        <v>1.3580246913580233E-2</v>
      </c>
      <c r="E186" s="61">
        <f t="shared" si="10"/>
        <v>0.26358024691358023</v>
      </c>
      <c r="F186" s="60">
        <f t="shared" si="11"/>
        <v>-0.26358024691358023</v>
      </c>
    </row>
    <row r="187" spans="2:6" x14ac:dyDescent="0.25">
      <c r="B187" s="59">
        <f t="shared" si="12"/>
        <v>9.0500000000000114</v>
      </c>
      <c r="C187" s="59">
        <f t="shared" si="8"/>
        <v>0.25</v>
      </c>
      <c r="D187" s="62">
        <f t="shared" si="9"/>
        <v>1.3505217925107414E-2</v>
      </c>
      <c r="E187" s="61">
        <f t="shared" si="10"/>
        <v>0.26350521792510739</v>
      </c>
      <c r="F187" s="60">
        <f t="shared" si="11"/>
        <v>-0.26350521792510739</v>
      </c>
    </row>
    <row r="188" spans="2:6" x14ac:dyDescent="0.25">
      <c r="B188" s="59">
        <f t="shared" si="12"/>
        <v>9.1000000000000121</v>
      </c>
      <c r="C188" s="59">
        <f t="shared" si="8"/>
        <v>0.25</v>
      </c>
      <c r="D188" s="62">
        <f t="shared" si="9"/>
        <v>1.3431013431013415E-2</v>
      </c>
      <c r="E188" s="61">
        <f t="shared" si="10"/>
        <v>0.26343101343101344</v>
      </c>
      <c r="F188" s="60">
        <f t="shared" si="11"/>
        <v>-0.26343101343101344</v>
      </c>
    </row>
    <row r="189" spans="2:6" x14ac:dyDescent="0.25">
      <c r="B189" s="59">
        <f t="shared" si="12"/>
        <v>9.1500000000000128</v>
      </c>
      <c r="C189" s="59">
        <f t="shared" si="8"/>
        <v>0.25</v>
      </c>
      <c r="D189" s="62">
        <f t="shared" si="9"/>
        <v>1.3357619914996949E-2</v>
      </c>
      <c r="E189" s="61">
        <f t="shared" si="10"/>
        <v>0.26335761991499695</v>
      </c>
      <c r="F189" s="60">
        <f t="shared" si="11"/>
        <v>-0.26335761991499695</v>
      </c>
    </row>
    <row r="190" spans="2:6" x14ac:dyDescent="0.25">
      <c r="B190" s="59">
        <f t="shared" si="12"/>
        <v>9.2000000000000135</v>
      </c>
      <c r="C190" s="59">
        <f t="shared" si="8"/>
        <v>0.25</v>
      </c>
      <c r="D190" s="62">
        <f t="shared" si="9"/>
        <v>1.3285024154589353E-2</v>
      </c>
      <c r="E190" s="61">
        <f t="shared" si="10"/>
        <v>0.26328502415458938</v>
      </c>
      <c r="F190" s="60">
        <f t="shared" si="11"/>
        <v>-0.26328502415458938</v>
      </c>
    </row>
    <row r="191" spans="2:6" x14ac:dyDescent="0.25">
      <c r="B191" s="59">
        <f t="shared" si="12"/>
        <v>9.2500000000000142</v>
      </c>
      <c r="C191" s="59">
        <f t="shared" si="8"/>
        <v>0.25</v>
      </c>
      <c r="D191" s="62">
        <f t="shared" si="9"/>
        <v>1.3213213213213195E-2</v>
      </c>
      <c r="E191" s="61">
        <f t="shared" si="10"/>
        <v>0.26321321321321317</v>
      </c>
      <c r="F191" s="60">
        <f t="shared" si="11"/>
        <v>-0.26321321321321317</v>
      </c>
    </row>
    <row r="192" spans="2:6" x14ac:dyDescent="0.25">
      <c r="B192" s="59">
        <f t="shared" si="12"/>
        <v>9.3000000000000149</v>
      </c>
      <c r="C192" s="59">
        <f t="shared" si="8"/>
        <v>0.25</v>
      </c>
      <c r="D192" s="62">
        <f t="shared" si="9"/>
        <v>1.3142174432496993E-2</v>
      </c>
      <c r="E192" s="61">
        <f t="shared" si="10"/>
        <v>0.26314217443249699</v>
      </c>
      <c r="F192" s="60">
        <f t="shared" si="11"/>
        <v>-0.26314217443249699</v>
      </c>
    </row>
    <row r="193" spans="2:6" x14ac:dyDescent="0.25">
      <c r="B193" s="59">
        <f t="shared" si="12"/>
        <v>9.3500000000000156</v>
      </c>
      <c r="C193" s="59">
        <f t="shared" si="8"/>
        <v>0.25</v>
      </c>
      <c r="D193" s="62">
        <f t="shared" si="9"/>
        <v>1.3071895424836581E-2</v>
      </c>
      <c r="E193" s="61">
        <f t="shared" si="10"/>
        <v>0.26307189542483655</v>
      </c>
      <c r="F193" s="60">
        <f t="shared" si="11"/>
        <v>-0.26307189542483655</v>
      </c>
    </row>
    <row r="194" spans="2:6" x14ac:dyDescent="0.25">
      <c r="B194" s="59">
        <f t="shared" si="12"/>
        <v>9.4000000000000163</v>
      </c>
      <c r="C194" s="59">
        <f t="shared" si="8"/>
        <v>0.25</v>
      </c>
      <c r="D194" s="62">
        <f t="shared" si="9"/>
        <v>1.3002364066193832E-2</v>
      </c>
      <c r="E194" s="61">
        <f t="shared" si="10"/>
        <v>0.26300236406619382</v>
      </c>
      <c r="F194" s="60">
        <f t="shared" si="11"/>
        <v>-0.26300236406619382</v>
      </c>
    </row>
    <row r="195" spans="2:6" x14ac:dyDescent="0.25">
      <c r="B195" s="59">
        <f t="shared" si="12"/>
        <v>9.4500000000000171</v>
      </c>
      <c r="C195" s="59">
        <f t="shared" si="8"/>
        <v>0.25</v>
      </c>
      <c r="D195" s="62">
        <f t="shared" si="9"/>
        <v>1.2933568489124025E-2</v>
      </c>
      <c r="E195" s="61">
        <f t="shared" si="10"/>
        <v>0.26293356848912403</v>
      </c>
      <c r="F195" s="60">
        <f t="shared" si="11"/>
        <v>-0.26293356848912403</v>
      </c>
    </row>
    <row r="196" spans="2:6" x14ac:dyDescent="0.25">
      <c r="B196" s="59">
        <f t="shared" si="12"/>
        <v>9.5000000000000178</v>
      </c>
      <c r="C196" s="59">
        <f t="shared" si="8"/>
        <v>0.25</v>
      </c>
      <c r="D196" s="62">
        <f t="shared" si="9"/>
        <v>1.286549707602337E-2</v>
      </c>
      <c r="E196" s="61">
        <f t="shared" si="10"/>
        <v>0.26286549707602336</v>
      </c>
      <c r="F196" s="60">
        <f t="shared" si="11"/>
        <v>-0.26286549707602336</v>
      </c>
    </row>
    <row r="197" spans="2:6" x14ac:dyDescent="0.25">
      <c r="B197" s="59">
        <f t="shared" si="12"/>
        <v>9.5500000000000185</v>
      </c>
      <c r="C197" s="59">
        <f t="shared" si="8"/>
        <v>0.25</v>
      </c>
      <c r="D197" s="62">
        <f t="shared" si="9"/>
        <v>1.2798138452588693E-2</v>
      </c>
      <c r="E197" s="61">
        <f t="shared" si="10"/>
        <v>0.2627981384525887</v>
      </c>
      <c r="F197" s="60">
        <f t="shared" si="11"/>
        <v>-0.2627981384525887</v>
      </c>
    </row>
    <row r="198" spans="2:6" x14ac:dyDescent="0.25">
      <c r="B198" s="59">
        <f t="shared" si="12"/>
        <v>9.6000000000000192</v>
      </c>
      <c r="C198" s="59">
        <f t="shared" ref="C198:C261" si="13">$C$4</f>
        <v>0.25</v>
      </c>
      <c r="D198" s="62">
        <f t="shared" ref="D198:D261" si="14">$F$2/B198*100</f>
        <v>1.2731481481481458E-2</v>
      </c>
      <c r="E198" s="61">
        <f t="shared" ref="E198:E261" si="15">C198+D198</f>
        <v>0.26273148148148145</v>
      </c>
      <c r="F198" s="60">
        <f t="shared" ref="F198:F261" si="16">E198*-1</f>
        <v>-0.26273148148148145</v>
      </c>
    </row>
    <row r="199" spans="2:6" x14ac:dyDescent="0.25">
      <c r="B199" s="59">
        <f t="shared" si="12"/>
        <v>9.6500000000000199</v>
      </c>
      <c r="C199" s="59">
        <f t="shared" si="13"/>
        <v>0.25</v>
      </c>
      <c r="D199" s="62">
        <f t="shared" si="14"/>
        <v>1.2665515256188808E-2</v>
      </c>
      <c r="E199" s="61">
        <f t="shared" si="15"/>
        <v>0.26266551525618881</v>
      </c>
      <c r="F199" s="60">
        <f t="shared" si="16"/>
        <v>-0.26266551525618881</v>
      </c>
    </row>
    <row r="200" spans="2:6" x14ac:dyDescent="0.25">
      <c r="B200" s="59">
        <f t="shared" si="12"/>
        <v>9.7000000000000206</v>
      </c>
      <c r="C200" s="59">
        <f t="shared" si="13"/>
        <v>0.25</v>
      </c>
      <c r="D200" s="62">
        <f t="shared" si="14"/>
        <v>1.2600229095074432E-2</v>
      </c>
      <c r="E200" s="61">
        <f t="shared" si="15"/>
        <v>0.26260022909507441</v>
      </c>
      <c r="F200" s="60">
        <f t="shared" si="16"/>
        <v>-0.26260022909507441</v>
      </c>
    </row>
    <row r="201" spans="2:6" x14ac:dyDescent="0.25">
      <c r="B201" s="59">
        <f t="shared" si="12"/>
        <v>9.7500000000000213</v>
      </c>
      <c r="C201" s="59">
        <f t="shared" si="13"/>
        <v>0.25</v>
      </c>
      <c r="D201" s="62">
        <f t="shared" si="14"/>
        <v>1.2535612535612511E-2</v>
      </c>
      <c r="E201" s="61">
        <f t="shared" si="15"/>
        <v>0.26253561253561253</v>
      </c>
      <c r="F201" s="60">
        <f t="shared" si="16"/>
        <v>-0.26253561253561253</v>
      </c>
    </row>
    <row r="202" spans="2:6" x14ac:dyDescent="0.25">
      <c r="B202" s="59">
        <f t="shared" si="12"/>
        <v>9.800000000000022</v>
      </c>
      <c r="C202" s="59">
        <f t="shared" si="13"/>
        <v>0.25</v>
      </c>
      <c r="D202" s="62">
        <f t="shared" si="14"/>
        <v>1.247165532879816E-2</v>
      </c>
      <c r="E202" s="61">
        <f t="shared" si="15"/>
        <v>0.26247165532879818</v>
      </c>
      <c r="F202" s="60">
        <f t="shared" si="16"/>
        <v>-0.26247165532879818</v>
      </c>
    </row>
    <row r="203" spans="2:6" x14ac:dyDescent="0.25">
      <c r="B203" s="59">
        <f t="shared" si="12"/>
        <v>9.8500000000000227</v>
      </c>
      <c r="C203" s="59">
        <f t="shared" si="13"/>
        <v>0.25</v>
      </c>
      <c r="D203" s="62">
        <f t="shared" si="14"/>
        <v>1.240834743372812E-2</v>
      </c>
      <c r="E203" s="61">
        <f t="shared" si="15"/>
        <v>0.2624083474337281</v>
      </c>
      <c r="F203" s="60">
        <f t="shared" si="16"/>
        <v>-0.2624083474337281</v>
      </c>
    </row>
    <row r="204" spans="2:6" x14ac:dyDescent="0.25">
      <c r="B204" s="59">
        <f t="shared" si="12"/>
        <v>9.9000000000000234</v>
      </c>
      <c r="C204" s="59">
        <f t="shared" si="13"/>
        <v>0.25</v>
      </c>
      <c r="D204" s="62">
        <f t="shared" si="14"/>
        <v>1.2345679012345652E-2</v>
      </c>
      <c r="E204" s="61">
        <f t="shared" si="15"/>
        <v>0.26234567901234568</v>
      </c>
      <c r="F204" s="60">
        <f t="shared" si="16"/>
        <v>-0.26234567901234568</v>
      </c>
    </row>
    <row r="205" spans="2:6" x14ac:dyDescent="0.25">
      <c r="B205" s="59">
        <f t="shared" si="12"/>
        <v>9.9500000000000242</v>
      </c>
      <c r="C205" s="59">
        <f t="shared" si="13"/>
        <v>0.25</v>
      </c>
      <c r="D205" s="62">
        <f t="shared" si="14"/>
        <v>1.2283640424343916E-2</v>
      </c>
      <c r="E205" s="61">
        <f t="shared" si="15"/>
        <v>0.26228364042434393</v>
      </c>
      <c r="F205" s="60">
        <f t="shared" si="16"/>
        <v>-0.26228364042434393</v>
      </c>
    </row>
    <row r="206" spans="2:6" x14ac:dyDescent="0.25">
      <c r="B206" s="59">
        <f t="shared" si="12"/>
        <v>10.000000000000025</v>
      </c>
      <c r="C206" s="59">
        <f t="shared" si="13"/>
        <v>0.25</v>
      </c>
      <c r="D206" s="62">
        <f t="shared" si="14"/>
        <v>1.2222222222222195E-2</v>
      </c>
      <c r="E206" s="61">
        <f t="shared" si="15"/>
        <v>0.26222222222222219</v>
      </c>
      <c r="F206" s="60">
        <f t="shared" si="16"/>
        <v>-0.26222222222222219</v>
      </c>
    </row>
    <row r="207" spans="2:6" x14ac:dyDescent="0.25">
      <c r="B207" s="59">
        <f t="shared" si="12"/>
        <v>10.050000000000026</v>
      </c>
      <c r="C207" s="59">
        <f t="shared" si="13"/>
        <v>0.25</v>
      </c>
      <c r="D207" s="62">
        <f t="shared" si="14"/>
        <v>1.2161415146489744E-2</v>
      </c>
      <c r="E207" s="61">
        <f t="shared" si="15"/>
        <v>0.26216141514648972</v>
      </c>
      <c r="F207" s="60">
        <f t="shared" si="16"/>
        <v>-0.26216141514648972</v>
      </c>
    </row>
    <row r="208" spans="2:6" x14ac:dyDescent="0.25">
      <c r="B208" s="59">
        <f t="shared" si="12"/>
        <v>10.100000000000026</v>
      </c>
      <c r="C208" s="59">
        <f t="shared" si="13"/>
        <v>0.25</v>
      </c>
      <c r="D208" s="62">
        <f t="shared" si="14"/>
        <v>1.2101210121012071E-2</v>
      </c>
      <c r="E208" s="61">
        <f t="shared" si="15"/>
        <v>0.26210121012101206</v>
      </c>
      <c r="F208" s="60">
        <f t="shared" si="16"/>
        <v>-0.26210121012101206</v>
      </c>
    </row>
    <row r="209" spans="2:6" x14ac:dyDescent="0.25">
      <c r="B209" s="59">
        <f t="shared" si="12"/>
        <v>10.150000000000027</v>
      </c>
      <c r="C209" s="59">
        <f t="shared" si="13"/>
        <v>0.25</v>
      </c>
      <c r="D209" s="62">
        <f t="shared" si="14"/>
        <v>1.204159824849477E-2</v>
      </c>
      <c r="E209" s="61">
        <f t="shared" si="15"/>
        <v>0.26204159824849477</v>
      </c>
      <c r="F209" s="60">
        <f t="shared" si="16"/>
        <v>-0.26204159824849477</v>
      </c>
    </row>
    <row r="210" spans="2:6" x14ac:dyDescent="0.25">
      <c r="B210" s="59">
        <f t="shared" si="12"/>
        <v>10.200000000000028</v>
      </c>
      <c r="C210" s="59">
        <f t="shared" si="13"/>
        <v>0.25</v>
      </c>
      <c r="D210" s="62">
        <f t="shared" si="14"/>
        <v>1.1982570806100188E-2</v>
      </c>
      <c r="E210" s="61">
        <f t="shared" si="15"/>
        <v>0.26198257080610021</v>
      </c>
      <c r="F210" s="60">
        <f t="shared" si="16"/>
        <v>-0.26198257080610021</v>
      </c>
    </row>
    <row r="211" spans="2:6" x14ac:dyDescent="0.25">
      <c r="B211" s="59">
        <f t="shared" si="12"/>
        <v>10.250000000000028</v>
      </c>
      <c r="C211" s="59">
        <f t="shared" si="13"/>
        <v>0.25</v>
      </c>
      <c r="D211" s="62">
        <f t="shared" si="14"/>
        <v>1.1924119241192381E-2</v>
      </c>
      <c r="E211" s="61">
        <f t="shared" si="15"/>
        <v>0.26192411924119235</v>
      </c>
      <c r="F211" s="60">
        <f t="shared" si="16"/>
        <v>-0.26192411924119235</v>
      </c>
    </row>
    <row r="212" spans="2:6" x14ac:dyDescent="0.25">
      <c r="B212" s="59">
        <f t="shared" si="12"/>
        <v>10.300000000000029</v>
      </c>
      <c r="C212" s="59">
        <f t="shared" si="13"/>
        <v>0.25</v>
      </c>
      <c r="D212" s="62">
        <f t="shared" si="14"/>
        <v>1.1866235167206009E-2</v>
      </c>
      <c r="E212" s="61">
        <f t="shared" si="15"/>
        <v>0.26186623516720603</v>
      </c>
      <c r="F212" s="60">
        <f t="shared" si="16"/>
        <v>-0.26186623516720603</v>
      </c>
    </row>
    <row r="213" spans="2:6" x14ac:dyDescent="0.25">
      <c r="B213" s="59">
        <f t="shared" si="12"/>
        <v>10.35000000000003</v>
      </c>
      <c r="C213" s="59">
        <f t="shared" si="13"/>
        <v>0.25</v>
      </c>
      <c r="D213" s="62">
        <f t="shared" si="14"/>
        <v>1.1808910359634965E-2</v>
      </c>
      <c r="E213" s="61">
        <f t="shared" si="15"/>
        <v>0.26180891035963494</v>
      </c>
      <c r="F213" s="60">
        <f t="shared" si="16"/>
        <v>-0.26180891035963494</v>
      </c>
    </row>
    <row r="214" spans="2:6" x14ac:dyDescent="0.25">
      <c r="B214" s="59">
        <f t="shared" si="12"/>
        <v>10.400000000000031</v>
      </c>
      <c r="C214" s="59">
        <f t="shared" si="13"/>
        <v>0.25</v>
      </c>
      <c r="D214" s="62">
        <f t="shared" si="14"/>
        <v>1.1752136752136719E-2</v>
      </c>
      <c r="E214" s="61">
        <f t="shared" si="15"/>
        <v>0.26175213675213671</v>
      </c>
      <c r="F214" s="60">
        <f t="shared" si="16"/>
        <v>-0.26175213675213671</v>
      </c>
    </row>
    <row r="215" spans="2:6" x14ac:dyDescent="0.25">
      <c r="B215" s="59">
        <f t="shared" ref="B215:B278" si="17">B214+0.05</f>
        <v>10.450000000000031</v>
      </c>
      <c r="C215" s="59">
        <f t="shared" si="13"/>
        <v>0.25</v>
      </c>
      <c r="D215" s="62">
        <f t="shared" si="14"/>
        <v>1.1695906432748504E-2</v>
      </c>
      <c r="E215" s="61">
        <f t="shared" si="15"/>
        <v>0.26169590643274848</v>
      </c>
      <c r="F215" s="60">
        <f t="shared" si="16"/>
        <v>-0.26169590643274848</v>
      </c>
    </row>
    <row r="216" spans="2:6" x14ac:dyDescent="0.25">
      <c r="B216" s="59">
        <f t="shared" si="17"/>
        <v>10.500000000000032</v>
      </c>
      <c r="C216" s="59">
        <f t="shared" si="13"/>
        <v>0.25</v>
      </c>
      <c r="D216" s="62">
        <f t="shared" si="14"/>
        <v>1.1640211640211607E-2</v>
      </c>
      <c r="E216" s="61">
        <f t="shared" si="15"/>
        <v>0.26164021164021162</v>
      </c>
      <c r="F216" s="60">
        <f t="shared" si="16"/>
        <v>-0.26164021164021162</v>
      </c>
    </row>
    <row r="217" spans="2:6" x14ac:dyDescent="0.25">
      <c r="B217" s="59">
        <f t="shared" si="17"/>
        <v>10.550000000000033</v>
      </c>
      <c r="C217" s="59">
        <f t="shared" si="13"/>
        <v>0.25</v>
      </c>
      <c r="D217" s="62">
        <f t="shared" si="14"/>
        <v>1.1585044760400176E-2</v>
      </c>
      <c r="E217" s="61">
        <f t="shared" si="15"/>
        <v>0.26158504476040018</v>
      </c>
      <c r="F217" s="60">
        <f t="shared" si="16"/>
        <v>-0.26158504476040018</v>
      </c>
    </row>
    <row r="218" spans="2:6" x14ac:dyDescent="0.25">
      <c r="B218" s="59">
        <f t="shared" si="17"/>
        <v>10.600000000000033</v>
      </c>
      <c r="C218" s="59">
        <f t="shared" si="13"/>
        <v>0.25</v>
      </c>
      <c r="D218" s="62">
        <f t="shared" si="14"/>
        <v>1.1530398322851118E-2</v>
      </c>
      <c r="E218" s="61">
        <f t="shared" si="15"/>
        <v>0.26153039832285113</v>
      </c>
      <c r="F218" s="60">
        <f t="shared" si="16"/>
        <v>-0.26153039832285113</v>
      </c>
    </row>
    <row r="219" spans="2:6" x14ac:dyDescent="0.25">
      <c r="B219" s="59">
        <f t="shared" si="17"/>
        <v>10.650000000000034</v>
      </c>
      <c r="C219" s="59">
        <f t="shared" si="13"/>
        <v>0.25</v>
      </c>
      <c r="D219" s="62">
        <f t="shared" si="14"/>
        <v>1.1476264997391723E-2</v>
      </c>
      <c r="E219" s="61">
        <f t="shared" si="15"/>
        <v>0.26147626499739174</v>
      </c>
      <c r="F219" s="60">
        <f t="shared" si="16"/>
        <v>-0.26147626499739174</v>
      </c>
    </row>
    <row r="220" spans="2:6" x14ac:dyDescent="0.25">
      <c r="B220" s="59">
        <f t="shared" si="17"/>
        <v>10.700000000000035</v>
      </c>
      <c r="C220" s="59">
        <f t="shared" si="13"/>
        <v>0.25</v>
      </c>
      <c r="D220" s="62">
        <f t="shared" si="14"/>
        <v>1.1422637590861855E-2</v>
      </c>
      <c r="E220" s="61">
        <f t="shared" si="15"/>
        <v>0.26142263759086187</v>
      </c>
      <c r="F220" s="60">
        <f t="shared" si="16"/>
        <v>-0.26142263759086187</v>
      </c>
    </row>
    <row r="221" spans="2:6" x14ac:dyDescent="0.25">
      <c r="B221" s="59">
        <f t="shared" si="17"/>
        <v>10.750000000000036</v>
      </c>
      <c r="C221" s="59">
        <f t="shared" si="13"/>
        <v>0.25</v>
      </c>
      <c r="D221" s="62">
        <f t="shared" si="14"/>
        <v>1.1369509043927613E-2</v>
      </c>
      <c r="E221" s="61">
        <f t="shared" si="15"/>
        <v>0.26136950904392764</v>
      </c>
      <c r="F221" s="60">
        <f t="shared" si="16"/>
        <v>-0.26136950904392764</v>
      </c>
    </row>
    <row r="222" spans="2:6" x14ac:dyDescent="0.25">
      <c r="B222" s="59">
        <f t="shared" si="17"/>
        <v>10.800000000000036</v>
      </c>
      <c r="C222" s="59">
        <f t="shared" si="13"/>
        <v>0.25</v>
      </c>
      <c r="D222" s="62">
        <f t="shared" si="14"/>
        <v>1.1316872427983503E-2</v>
      </c>
      <c r="E222" s="61">
        <f t="shared" si="15"/>
        <v>0.26131687242798352</v>
      </c>
      <c r="F222" s="60">
        <f t="shared" si="16"/>
        <v>-0.26131687242798352</v>
      </c>
    </row>
    <row r="223" spans="2:6" x14ac:dyDescent="0.25">
      <c r="B223" s="59">
        <f t="shared" si="17"/>
        <v>10.850000000000037</v>
      </c>
      <c r="C223" s="59">
        <f t="shared" si="13"/>
        <v>0.25</v>
      </c>
      <c r="D223" s="62">
        <f t="shared" si="14"/>
        <v>1.1264720942140261E-2</v>
      </c>
      <c r="E223" s="61">
        <f t="shared" si="15"/>
        <v>0.26126472094214026</v>
      </c>
      <c r="F223" s="60">
        <f t="shared" si="16"/>
        <v>-0.26126472094214026</v>
      </c>
    </row>
    <row r="224" spans="2:6" x14ac:dyDescent="0.25">
      <c r="B224" s="59">
        <f t="shared" si="17"/>
        <v>10.900000000000038</v>
      </c>
      <c r="C224" s="59">
        <f t="shared" si="13"/>
        <v>0.25</v>
      </c>
      <c r="D224" s="62">
        <f t="shared" si="14"/>
        <v>1.1213047910295579E-2</v>
      </c>
      <c r="E224" s="61">
        <f t="shared" si="15"/>
        <v>0.26121304791029559</v>
      </c>
      <c r="F224" s="60">
        <f t="shared" si="16"/>
        <v>-0.26121304791029559</v>
      </c>
    </row>
    <row r="225" spans="2:6" x14ac:dyDescent="0.25">
      <c r="B225" s="59">
        <f t="shared" si="17"/>
        <v>10.950000000000038</v>
      </c>
      <c r="C225" s="59">
        <f t="shared" si="13"/>
        <v>0.25</v>
      </c>
      <c r="D225" s="62">
        <f t="shared" si="14"/>
        <v>1.1161846778285097E-2</v>
      </c>
      <c r="E225" s="61">
        <f t="shared" si="15"/>
        <v>0.26116184677828508</v>
      </c>
      <c r="F225" s="60">
        <f t="shared" si="16"/>
        <v>-0.26116184677828508</v>
      </c>
    </row>
    <row r="226" spans="2:6" x14ac:dyDescent="0.25">
      <c r="B226" s="59">
        <f t="shared" si="17"/>
        <v>11.000000000000039</v>
      </c>
      <c r="C226" s="59">
        <f t="shared" si="13"/>
        <v>0.25</v>
      </c>
      <c r="D226" s="62">
        <f t="shared" si="14"/>
        <v>1.1111111111111073E-2</v>
      </c>
      <c r="E226" s="61">
        <f t="shared" si="15"/>
        <v>0.26111111111111107</v>
      </c>
      <c r="F226" s="60">
        <f t="shared" si="16"/>
        <v>-0.26111111111111107</v>
      </c>
    </row>
    <row r="227" spans="2:6" x14ac:dyDescent="0.25">
      <c r="B227" s="59">
        <f t="shared" si="17"/>
        <v>11.05000000000004</v>
      </c>
      <c r="C227" s="59">
        <f t="shared" si="13"/>
        <v>0.25</v>
      </c>
      <c r="D227" s="62">
        <f t="shared" si="14"/>
        <v>1.1060834590246317E-2</v>
      </c>
      <c r="E227" s="61">
        <f t="shared" si="15"/>
        <v>0.26106083459024632</v>
      </c>
      <c r="F227" s="60">
        <f t="shared" si="16"/>
        <v>-0.26106083459024632</v>
      </c>
    </row>
    <row r="228" spans="2:6" x14ac:dyDescent="0.25">
      <c r="B228" s="59">
        <f t="shared" si="17"/>
        <v>11.100000000000041</v>
      </c>
      <c r="C228" s="59">
        <f t="shared" si="13"/>
        <v>0.25</v>
      </c>
      <c r="D228" s="62">
        <f t="shared" si="14"/>
        <v>1.1011011011010973E-2</v>
      </c>
      <c r="E228" s="61">
        <f t="shared" si="15"/>
        <v>0.26101101101101098</v>
      </c>
      <c r="F228" s="60">
        <f t="shared" si="16"/>
        <v>-0.26101101101101098</v>
      </c>
    </row>
    <row r="229" spans="2:6" x14ac:dyDescent="0.25">
      <c r="B229" s="59">
        <f t="shared" si="17"/>
        <v>11.150000000000041</v>
      </c>
      <c r="C229" s="59">
        <f t="shared" si="13"/>
        <v>0.25</v>
      </c>
      <c r="D229" s="62">
        <f t="shared" si="14"/>
        <v>1.0961634280019891E-2</v>
      </c>
      <c r="E229" s="61">
        <f t="shared" si="15"/>
        <v>0.26096163428001989</v>
      </c>
      <c r="F229" s="60">
        <f t="shared" si="16"/>
        <v>-0.26096163428001989</v>
      </c>
    </row>
    <row r="230" spans="2:6" x14ac:dyDescent="0.25">
      <c r="B230" s="59">
        <f t="shared" si="17"/>
        <v>11.200000000000042</v>
      </c>
      <c r="C230" s="59">
        <f t="shared" si="13"/>
        <v>0.25</v>
      </c>
      <c r="D230" s="62">
        <f t="shared" si="14"/>
        <v>1.0912698412698374E-2</v>
      </c>
      <c r="E230" s="61">
        <f t="shared" si="15"/>
        <v>0.26091269841269837</v>
      </c>
      <c r="F230" s="60">
        <f t="shared" si="16"/>
        <v>-0.26091269841269837</v>
      </c>
    </row>
    <row r="231" spans="2:6" x14ac:dyDescent="0.25">
      <c r="B231" s="59">
        <f t="shared" si="17"/>
        <v>11.250000000000043</v>
      </c>
      <c r="C231" s="59">
        <f t="shared" si="13"/>
        <v>0.25</v>
      </c>
      <c r="D231" s="62">
        <f t="shared" si="14"/>
        <v>1.0864197530864157E-2</v>
      </c>
      <c r="E231" s="61">
        <f t="shared" si="15"/>
        <v>0.26086419753086415</v>
      </c>
      <c r="F231" s="60">
        <f t="shared" si="16"/>
        <v>-0.26086419753086415</v>
      </c>
    </row>
    <row r="232" spans="2:6" x14ac:dyDescent="0.25">
      <c r="B232" s="59">
        <f t="shared" si="17"/>
        <v>11.300000000000043</v>
      </c>
      <c r="C232" s="59">
        <f t="shared" si="13"/>
        <v>0.25</v>
      </c>
      <c r="D232" s="62">
        <f t="shared" si="14"/>
        <v>1.0816125860373609E-2</v>
      </c>
      <c r="E232" s="61">
        <f t="shared" si="15"/>
        <v>0.26081612586037362</v>
      </c>
      <c r="F232" s="60">
        <f t="shared" si="16"/>
        <v>-0.26081612586037362</v>
      </c>
    </row>
    <row r="233" spans="2:6" x14ac:dyDescent="0.25">
      <c r="B233" s="59">
        <f t="shared" si="17"/>
        <v>11.350000000000044</v>
      </c>
      <c r="C233" s="59">
        <f t="shared" si="13"/>
        <v>0.25</v>
      </c>
      <c r="D233" s="62">
        <f t="shared" si="14"/>
        <v>1.0768477728830111E-2</v>
      </c>
      <c r="E233" s="61">
        <f t="shared" si="15"/>
        <v>0.26076847772883011</v>
      </c>
      <c r="F233" s="60">
        <f t="shared" si="16"/>
        <v>-0.26076847772883011</v>
      </c>
    </row>
    <row r="234" spans="2:6" x14ac:dyDescent="0.25">
      <c r="B234" s="59">
        <f t="shared" si="17"/>
        <v>11.400000000000045</v>
      </c>
      <c r="C234" s="59">
        <f t="shared" si="13"/>
        <v>0.25</v>
      </c>
      <c r="D234" s="62">
        <f t="shared" si="14"/>
        <v>1.0721247563352786E-2</v>
      </c>
      <c r="E234" s="61">
        <f t="shared" si="15"/>
        <v>0.2607212475633528</v>
      </c>
      <c r="F234" s="60">
        <f t="shared" si="16"/>
        <v>-0.2607212475633528</v>
      </c>
    </row>
    <row r="235" spans="2:6" x14ac:dyDescent="0.25">
      <c r="B235" s="59">
        <f t="shared" si="17"/>
        <v>11.450000000000045</v>
      </c>
      <c r="C235" s="59">
        <f t="shared" si="13"/>
        <v>0.25</v>
      </c>
      <c r="D235" s="62">
        <f t="shared" si="14"/>
        <v>1.0674429888403647E-2</v>
      </c>
      <c r="E235" s="61">
        <f t="shared" si="15"/>
        <v>0.26067442988840367</v>
      </c>
      <c r="F235" s="60">
        <f t="shared" si="16"/>
        <v>-0.26067442988840367</v>
      </c>
    </row>
    <row r="236" spans="2:6" x14ac:dyDescent="0.25">
      <c r="B236" s="59">
        <f t="shared" si="17"/>
        <v>11.500000000000046</v>
      </c>
      <c r="C236" s="59">
        <f t="shared" si="13"/>
        <v>0.25</v>
      </c>
      <c r="D236" s="62">
        <f t="shared" si="14"/>
        <v>1.0628019323671457E-2</v>
      </c>
      <c r="E236" s="61">
        <f t="shared" si="15"/>
        <v>0.26062801932367147</v>
      </c>
      <c r="F236" s="60">
        <f t="shared" si="16"/>
        <v>-0.26062801932367147</v>
      </c>
    </row>
    <row r="237" spans="2:6" x14ac:dyDescent="0.25">
      <c r="B237" s="59">
        <f t="shared" si="17"/>
        <v>11.550000000000047</v>
      </c>
      <c r="C237" s="59">
        <f t="shared" si="13"/>
        <v>0.25</v>
      </c>
      <c r="D237" s="62">
        <f t="shared" si="14"/>
        <v>1.058201058201054E-2</v>
      </c>
      <c r="E237" s="61">
        <f t="shared" si="15"/>
        <v>0.26058201058201053</v>
      </c>
      <c r="F237" s="60">
        <f t="shared" si="16"/>
        <v>-0.26058201058201053</v>
      </c>
    </row>
    <row r="238" spans="2:6" x14ac:dyDescent="0.25">
      <c r="B238" s="59">
        <f t="shared" si="17"/>
        <v>11.600000000000048</v>
      </c>
      <c r="C238" s="59">
        <f t="shared" si="13"/>
        <v>0.25</v>
      </c>
      <c r="D238" s="62">
        <f t="shared" si="14"/>
        <v>1.0536398467432907E-2</v>
      </c>
      <c r="E238" s="61">
        <f t="shared" si="15"/>
        <v>0.26053639846743293</v>
      </c>
      <c r="F238" s="60">
        <f t="shared" si="16"/>
        <v>-0.26053639846743293</v>
      </c>
    </row>
    <row r="239" spans="2:6" x14ac:dyDescent="0.25">
      <c r="B239" s="59">
        <f t="shared" si="17"/>
        <v>11.650000000000048</v>
      </c>
      <c r="C239" s="59">
        <f t="shared" si="13"/>
        <v>0.25</v>
      </c>
      <c r="D239" s="62">
        <f t="shared" si="14"/>
        <v>1.0491177873152081E-2</v>
      </c>
      <c r="E239" s="61">
        <f t="shared" si="15"/>
        <v>0.26049117787315207</v>
      </c>
      <c r="F239" s="60">
        <f t="shared" si="16"/>
        <v>-0.26049117787315207</v>
      </c>
    </row>
    <row r="240" spans="2:6" x14ac:dyDescent="0.25">
      <c r="B240" s="59">
        <f t="shared" si="17"/>
        <v>11.700000000000049</v>
      </c>
      <c r="C240" s="59">
        <f t="shared" si="13"/>
        <v>0.25</v>
      </c>
      <c r="D240" s="62">
        <f t="shared" si="14"/>
        <v>1.0446343779677071E-2</v>
      </c>
      <c r="E240" s="61">
        <f t="shared" si="15"/>
        <v>0.26044634377967707</v>
      </c>
      <c r="F240" s="60">
        <f t="shared" si="16"/>
        <v>-0.26044634377967707</v>
      </c>
    </row>
    <row r="241" spans="2:6" x14ac:dyDescent="0.25">
      <c r="B241" s="59">
        <f t="shared" si="17"/>
        <v>11.75000000000005</v>
      </c>
      <c r="C241" s="59">
        <f t="shared" si="13"/>
        <v>0.25</v>
      </c>
      <c r="D241" s="62">
        <f t="shared" si="14"/>
        <v>1.0401891252955041E-2</v>
      </c>
      <c r="E241" s="61">
        <f t="shared" si="15"/>
        <v>0.26040189125295504</v>
      </c>
      <c r="F241" s="60">
        <f t="shared" si="16"/>
        <v>-0.26040189125295504</v>
      </c>
    </row>
    <row r="242" spans="2:6" x14ac:dyDescent="0.25">
      <c r="B242" s="59">
        <f t="shared" si="17"/>
        <v>11.80000000000005</v>
      </c>
      <c r="C242" s="59">
        <f t="shared" si="13"/>
        <v>0.25</v>
      </c>
      <c r="D242" s="62">
        <f t="shared" si="14"/>
        <v>1.0357815442561162E-2</v>
      </c>
      <c r="E242" s="61">
        <f t="shared" si="15"/>
        <v>0.26035781544256115</v>
      </c>
      <c r="F242" s="60">
        <f t="shared" si="16"/>
        <v>-0.26035781544256115</v>
      </c>
    </row>
    <row r="243" spans="2:6" x14ac:dyDescent="0.25">
      <c r="B243" s="59">
        <f t="shared" si="17"/>
        <v>11.850000000000051</v>
      </c>
      <c r="C243" s="59">
        <f t="shared" si="13"/>
        <v>0.25</v>
      </c>
      <c r="D243" s="62">
        <f t="shared" si="14"/>
        <v>1.0314111579934322E-2</v>
      </c>
      <c r="E243" s="61">
        <f t="shared" si="15"/>
        <v>0.26031411157993434</v>
      </c>
      <c r="F243" s="60">
        <f t="shared" si="16"/>
        <v>-0.26031411157993434</v>
      </c>
    </row>
    <row r="244" spans="2:6" x14ac:dyDescent="0.25">
      <c r="B244" s="59">
        <f t="shared" si="17"/>
        <v>11.900000000000052</v>
      </c>
      <c r="C244" s="59">
        <f t="shared" si="13"/>
        <v>0.25</v>
      </c>
      <c r="D244" s="62">
        <f t="shared" si="14"/>
        <v>1.0270774976657286E-2</v>
      </c>
      <c r="E244" s="61">
        <f t="shared" si="15"/>
        <v>0.26027077497665729</v>
      </c>
      <c r="F244" s="60">
        <f t="shared" si="16"/>
        <v>-0.26027077497665729</v>
      </c>
    </row>
    <row r="245" spans="2:6" x14ac:dyDescent="0.25">
      <c r="B245" s="59">
        <f t="shared" si="17"/>
        <v>11.950000000000053</v>
      </c>
      <c r="C245" s="59">
        <f t="shared" si="13"/>
        <v>0.25</v>
      </c>
      <c r="D245" s="62">
        <f t="shared" si="14"/>
        <v>1.0227801022780059E-2</v>
      </c>
      <c r="E245" s="61">
        <f t="shared" si="15"/>
        <v>0.26022780102278004</v>
      </c>
      <c r="F245" s="60">
        <f t="shared" si="16"/>
        <v>-0.26022780102278004</v>
      </c>
    </row>
    <row r="246" spans="2:6" x14ac:dyDescent="0.25">
      <c r="B246" s="59">
        <f t="shared" si="17"/>
        <v>12.000000000000053</v>
      </c>
      <c r="C246" s="59">
        <f t="shared" si="13"/>
        <v>0.25</v>
      </c>
      <c r="D246" s="62">
        <f t="shared" si="14"/>
        <v>1.0185185185185141E-2</v>
      </c>
      <c r="E246" s="61">
        <f t="shared" si="15"/>
        <v>0.26018518518518513</v>
      </c>
      <c r="F246" s="60">
        <f t="shared" si="16"/>
        <v>-0.26018518518518513</v>
      </c>
    </row>
    <row r="247" spans="2:6" x14ac:dyDescent="0.25">
      <c r="B247" s="59">
        <f t="shared" si="17"/>
        <v>12.050000000000054</v>
      </c>
      <c r="C247" s="59">
        <f t="shared" si="13"/>
        <v>0.25</v>
      </c>
      <c r="D247" s="62">
        <f t="shared" si="14"/>
        <v>1.0142923005993502E-2</v>
      </c>
      <c r="E247" s="61">
        <f t="shared" si="15"/>
        <v>0.26014292300599351</v>
      </c>
      <c r="F247" s="60">
        <f t="shared" si="16"/>
        <v>-0.26014292300599351</v>
      </c>
    </row>
    <row r="248" spans="2:6" x14ac:dyDescent="0.25">
      <c r="B248" s="59">
        <f t="shared" si="17"/>
        <v>12.100000000000055</v>
      </c>
      <c r="C248" s="59">
        <f t="shared" si="13"/>
        <v>0.25</v>
      </c>
      <c r="D248" s="62">
        <f t="shared" si="14"/>
        <v>1.0101010101010057E-2</v>
      </c>
      <c r="E248" s="61">
        <f t="shared" si="15"/>
        <v>0.26010101010101006</v>
      </c>
      <c r="F248" s="60">
        <f t="shared" si="16"/>
        <v>-0.26010101010101006</v>
      </c>
    </row>
    <row r="249" spans="2:6" x14ac:dyDescent="0.25">
      <c r="B249" s="59">
        <f t="shared" si="17"/>
        <v>12.150000000000055</v>
      </c>
      <c r="C249" s="59">
        <f t="shared" si="13"/>
        <v>0.25</v>
      </c>
      <c r="D249" s="62">
        <f t="shared" si="14"/>
        <v>1.0059442158207546E-2</v>
      </c>
      <c r="E249" s="61">
        <f t="shared" si="15"/>
        <v>0.26005944215820753</v>
      </c>
      <c r="F249" s="60">
        <f t="shared" si="16"/>
        <v>-0.26005944215820753</v>
      </c>
    </row>
    <row r="250" spans="2:6" x14ac:dyDescent="0.25">
      <c r="B250" s="59">
        <f t="shared" si="17"/>
        <v>12.200000000000056</v>
      </c>
      <c r="C250" s="59">
        <f t="shared" si="13"/>
        <v>0.25</v>
      </c>
      <c r="D250" s="62">
        <f t="shared" si="14"/>
        <v>1.0018214936247678E-2</v>
      </c>
      <c r="E250" s="61">
        <f t="shared" si="15"/>
        <v>0.26001821493624766</v>
      </c>
      <c r="F250" s="60">
        <f t="shared" si="16"/>
        <v>-0.26001821493624766</v>
      </c>
    </row>
    <row r="251" spans="2:6" x14ac:dyDescent="0.25">
      <c r="B251" s="59">
        <f t="shared" si="17"/>
        <v>12.250000000000057</v>
      </c>
      <c r="C251" s="59">
        <f t="shared" si="13"/>
        <v>0.25</v>
      </c>
      <c r="D251" s="62">
        <f t="shared" si="14"/>
        <v>9.9773242630385051E-3</v>
      </c>
      <c r="E251" s="61">
        <f t="shared" si="15"/>
        <v>0.25997732426303849</v>
      </c>
      <c r="F251" s="60">
        <f t="shared" si="16"/>
        <v>-0.25997732426303849</v>
      </c>
    </row>
    <row r="252" spans="2:6" x14ac:dyDescent="0.25">
      <c r="B252" s="59">
        <f t="shared" si="17"/>
        <v>12.300000000000058</v>
      </c>
      <c r="C252" s="59">
        <f t="shared" si="13"/>
        <v>0.25</v>
      </c>
      <c r="D252" s="62">
        <f t="shared" si="14"/>
        <v>9.9367660343269645E-3</v>
      </c>
      <c r="E252" s="61">
        <f t="shared" si="15"/>
        <v>0.25993676603432697</v>
      </c>
      <c r="F252" s="60">
        <f t="shared" si="16"/>
        <v>-0.25993676603432697</v>
      </c>
    </row>
    <row r="253" spans="2:6" x14ac:dyDescent="0.25">
      <c r="B253" s="59">
        <f t="shared" si="17"/>
        <v>12.350000000000058</v>
      </c>
      <c r="C253" s="59">
        <f t="shared" si="13"/>
        <v>0.25</v>
      </c>
      <c r="D253" s="62">
        <f t="shared" si="14"/>
        <v>9.8965362123256406E-3</v>
      </c>
      <c r="E253" s="61">
        <f t="shared" si="15"/>
        <v>0.25989653621232567</v>
      </c>
      <c r="F253" s="60">
        <f t="shared" si="16"/>
        <v>-0.25989653621232567</v>
      </c>
    </row>
    <row r="254" spans="2:6" x14ac:dyDescent="0.25">
      <c r="B254" s="59">
        <f t="shared" si="17"/>
        <v>12.400000000000059</v>
      </c>
      <c r="C254" s="59">
        <f t="shared" si="13"/>
        <v>0.25</v>
      </c>
      <c r="D254" s="62">
        <f t="shared" si="14"/>
        <v>9.8566308243727158E-3</v>
      </c>
      <c r="E254" s="61">
        <f t="shared" si="15"/>
        <v>0.25985663082437271</v>
      </c>
      <c r="F254" s="60">
        <f t="shared" si="16"/>
        <v>-0.25985663082437271</v>
      </c>
    </row>
    <row r="255" spans="2:6" x14ac:dyDescent="0.25">
      <c r="B255" s="59">
        <f t="shared" si="17"/>
        <v>12.45000000000006</v>
      </c>
      <c r="C255" s="59">
        <f t="shared" si="13"/>
        <v>0.25</v>
      </c>
      <c r="D255" s="62">
        <f t="shared" si="14"/>
        <v>9.8170459616242298E-3</v>
      </c>
      <c r="E255" s="61">
        <f t="shared" si="15"/>
        <v>0.25981704596162425</v>
      </c>
      <c r="F255" s="60">
        <f t="shared" si="16"/>
        <v>-0.25981704596162425</v>
      </c>
    </row>
    <row r="256" spans="2:6" x14ac:dyDescent="0.25">
      <c r="B256" s="59">
        <f t="shared" si="17"/>
        <v>12.50000000000006</v>
      </c>
      <c r="C256" s="59">
        <f t="shared" si="13"/>
        <v>0.25</v>
      </c>
      <c r="D256" s="62">
        <f t="shared" si="14"/>
        <v>9.7777777777777325E-3</v>
      </c>
      <c r="E256" s="61">
        <f t="shared" si="15"/>
        <v>0.25977777777777772</v>
      </c>
      <c r="F256" s="60">
        <f t="shared" si="16"/>
        <v>-0.25977777777777772</v>
      </c>
    </row>
    <row r="257" spans="2:6" x14ac:dyDescent="0.25">
      <c r="B257" s="59">
        <f t="shared" si="17"/>
        <v>12.550000000000061</v>
      </c>
      <c r="C257" s="59">
        <f t="shared" si="13"/>
        <v>0.25</v>
      </c>
      <c r="D257" s="62">
        <f t="shared" si="14"/>
        <v>9.7388224878264262E-3</v>
      </c>
      <c r="E257" s="61">
        <f t="shared" si="15"/>
        <v>0.25973882248782643</v>
      </c>
      <c r="F257" s="60">
        <f t="shared" si="16"/>
        <v>-0.25973882248782643</v>
      </c>
    </row>
    <row r="258" spans="2:6" x14ac:dyDescent="0.25">
      <c r="B258" s="59">
        <f t="shared" si="17"/>
        <v>12.600000000000062</v>
      </c>
      <c r="C258" s="59">
        <f t="shared" si="13"/>
        <v>0.25</v>
      </c>
      <c r="D258" s="62">
        <f t="shared" si="14"/>
        <v>9.7001763668429879E-3</v>
      </c>
      <c r="E258" s="61">
        <f t="shared" si="15"/>
        <v>0.25970017636684301</v>
      </c>
      <c r="F258" s="60">
        <f t="shared" si="16"/>
        <v>-0.25970017636684301</v>
      </c>
    </row>
    <row r="259" spans="2:6" x14ac:dyDescent="0.25">
      <c r="B259" s="59">
        <f t="shared" si="17"/>
        <v>12.650000000000063</v>
      </c>
      <c r="C259" s="59">
        <f t="shared" si="13"/>
        <v>0.25</v>
      </c>
      <c r="D259" s="62">
        <f t="shared" si="14"/>
        <v>9.661835748792225E-3</v>
      </c>
      <c r="E259" s="61">
        <f t="shared" si="15"/>
        <v>0.2596618357487922</v>
      </c>
      <c r="F259" s="60">
        <f t="shared" si="16"/>
        <v>-0.2596618357487922</v>
      </c>
    </row>
    <row r="260" spans="2:6" x14ac:dyDescent="0.25">
      <c r="B260" s="59">
        <f t="shared" si="17"/>
        <v>12.700000000000063</v>
      </c>
      <c r="C260" s="59">
        <f t="shared" si="13"/>
        <v>0.25</v>
      </c>
      <c r="D260" s="62">
        <f t="shared" si="14"/>
        <v>9.623797025371781E-3</v>
      </c>
      <c r="E260" s="61">
        <f t="shared" si="15"/>
        <v>0.25962379702537181</v>
      </c>
      <c r="F260" s="60">
        <f t="shared" si="16"/>
        <v>-0.25962379702537181</v>
      </c>
    </row>
    <row r="261" spans="2:6" x14ac:dyDescent="0.25">
      <c r="B261" s="59">
        <f t="shared" si="17"/>
        <v>12.750000000000064</v>
      </c>
      <c r="C261" s="59">
        <f t="shared" si="13"/>
        <v>0.25</v>
      </c>
      <c r="D261" s="62">
        <f t="shared" si="14"/>
        <v>9.5860566448801275E-3</v>
      </c>
      <c r="E261" s="61">
        <f t="shared" si="15"/>
        <v>0.2595860566448801</v>
      </c>
      <c r="F261" s="60">
        <f t="shared" si="16"/>
        <v>-0.2595860566448801</v>
      </c>
    </row>
    <row r="262" spans="2:6" x14ac:dyDescent="0.25">
      <c r="B262" s="59">
        <f t="shared" si="17"/>
        <v>12.800000000000065</v>
      </c>
      <c r="C262" s="59">
        <f t="shared" ref="C262:C325" si="18">$C$4</f>
        <v>0.25</v>
      </c>
      <c r="D262" s="62">
        <f t="shared" ref="D262:D325" si="19">$F$2/B262*100</f>
        <v>9.5486111111110633E-3</v>
      </c>
      <c r="E262" s="61">
        <f t="shared" ref="E262:E325" si="20">C262+D262</f>
        <v>0.25954861111111105</v>
      </c>
      <c r="F262" s="60">
        <f t="shared" ref="F262:F325" si="21">E262*-1</f>
        <v>-0.25954861111111105</v>
      </c>
    </row>
    <row r="263" spans="2:6" x14ac:dyDescent="0.25">
      <c r="B263" s="59">
        <f t="shared" si="17"/>
        <v>12.850000000000065</v>
      </c>
      <c r="C263" s="59">
        <f t="shared" si="18"/>
        <v>0.25</v>
      </c>
      <c r="D263" s="62">
        <f t="shared" si="19"/>
        <v>9.5114569822740552E-3</v>
      </c>
      <c r="E263" s="61">
        <f t="shared" si="20"/>
        <v>0.25951145698227407</v>
      </c>
      <c r="F263" s="60">
        <f t="shared" si="21"/>
        <v>-0.25951145698227407</v>
      </c>
    </row>
    <row r="264" spans="2:6" x14ac:dyDescent="0.25">
      <c r="B264" s="59">
        <f t="shared" si="17"/>
        <v>12.900000000000066</v>
      </c>
      <c r="C264" s="59">
        <f t="shared" si="18"/>
        <v>0.25</v>
      </c>
      <c r="D264" s="62">
        <f t="shared" si="19"/>
        <v>9.47459086993966E-3</v>
      </c>
      <c r="E264" s="61">
        <f t="shared" si="20"/>
        <v>0.25947459086993968</v>
      </c>
      <c r="F264" s="60">
        <f t="shared" si="21"/>
        <v>-0.25947459086993968</v>
      </c>
    </row>
    <row r="265" spans="2:6" x14ac:dyDescent="0.25">
      <c r="B265" s="59">
        <f t="shared" si="17"/>
        <v>12.950000000000067</v>
      </c>
      <c r="C265" s="59">
        <f t="shared" si="18"/>
        <v>0.25</v>
      </c>
      <c r="D265" s="62">
        <f t="shared" si="19"/>
        <v>9.4380094380093916E-3</v>
      </c>
      <c r="E265" s="61">
        <f t="shared" si="20"/>
        <v>0.25943800943800938</v>
      </c>
      <c r="F265" s="60">
        <f t="shared" si="21"/>
        <v>-0.25943800943800938</v>
      </c>
    </row>
    <row r="266" spans="2:6" x14ac:dyDescent="0.25">
      <c r="B266" s="59">
        <f t="shared" si="17"/>
        <v>13.000000000000068</v>
      </c>
      <c r="C266" s="59">
        <f t="shared" si="18"/>
        <v>0.25</v>
      </c>
      <c r="D266" s="62">
        <f t="shared" si="19"/>
        <v>9.4017094017093544E-3</v>
      </c>
      <c r="E266" s="61">
        <f t="shared" si="20"/>
        <v>0.25940170940170937</v>
      </c>
      <c r="F266" s="60">
        <f t="shared" si="21"/>
        <v>-0.25940170940170937</v>
      </c>
    </row>
    <row r="267" spans="2:6" x14ac:dyDescent="0.25">
      <c r="B267" s="59">
        <f t="shared" si="17"/>
        <v>13.050000000000068</v>
      </c>
      <c r="C267" s="59">
        <f t="shared" si="18"/>
        <v>0.25</v>
      </c>
      <c r="D267" s="62">
        <f t="shared" si="19"/>
        <v>9.3656875266070194E-3</v>
      </c>
      <c r="E267" s="61">
        <f t="shared" si="20"/>
        <v>0.25936568752660705</v>
      </c>
      <c r="F267" s="60">
        <f t="shared" si="21"/>
        <v>-0.25936568752660705</v>
      </c>
    </row>
    <row r="268" spans="2:6" x14ac:dyDescent="0.25">
      <c r="B268" s="59">
        <f t="shared" si="17"/>
        <v>13.100000000000069</v>
      </c>
      <c r="C268" s="59">
        <f t="shared" si="18"/>
        <v>0.25</v>
      </c>
      <c r="D268" s="62">
        <f t="shared" si="19"/>
        <v>9.3299406276505029E-3</v>
      </c>
      <c r="E268" s="61">
        <f t="shared" si="20"/>
        <v>0.25932994062765052</v>
      </c>
      <c r="F268" s="60">
        <f t="shared" si="21"/>
        <v>-0.25932994062765052</v>
      </c>
    </row>
    <row r="269" spans="2:6" x14ac:dyDescent="0.25">
      <c r="B269" s="59">
        <f t="shared" si="17"/>
        <v>13.15000000000007</v>
      </c>
      <c r="C269" s="59">
        <f t="shared" si="18"/>
        <v>0.25</v>
      </c>
      <c r="D269" s="62">
        <f t="shared" si="19"/>
        <v>9.2944655682297792E-3</v>
      </c>
      <c r="E269" s="61">
        <f t="shared" si="20"/>
        <v>0.25929446556822977</v>
      </c>
      <c r="F269" s="60">
        <f t="shared" si="21"/>
        <v>-0.25929446556822977</v>
      </c>
    </row>
    <row r="270" spans="2:6" x14ac:dyDescent="0.25">
      <c r="B270" s="59">
        <f t="shared" si="17"/>
        <v>13.20000000000007</v>
      </c>
      <c r="C270" s="59">
        <f t="shared" si="18"/>
        <v>0.25</v>
      </c>
      <c r="D270" s="62">
        <f t="shared" si="19"/>
        <v>9.2592592592592119E-3</v>
      </c>
      <c r="E270" s="61">
        <f t="shared" si="20"/>
        <v>0.25925925925925919</v>
      </c>
      <c r="F270" s="60">
        <f t="shared" si="21"/>
        <v>-0.25925925925925919</v>
      </c>
    </row>
    <row r="271" spans="2:6" x14ac:dyDescent="0.25">
      <c r="B271" s="59">
        <f t="shared" si="17"/>
        <v>13.250000000000071</v>
      </c>
      <c r="C271" s="59">
        <f t="shared" si="18"/>
        <v>0.25</v>
      </c>
      <c r="D271" s="62">
        <f t="shared" si="19"/>
        <v>9.2243186582808747E-3</v>
      </c>
      <c r="E271" s="61">
        <f t="shared" si="20"/>
        <v>0.25922431865828088</v>
      </c>
      <c r="F271" s="60">
        <f t="shared" si="21"/>
        <v>-0.25922431865828088</v>
      </c>
    </row>
    <row r="272" spans="2:6" x14ac:dyDescent="0.25">
      <c r="B272" s="59">
        <f t="shared" si="17"/>
        <v>13.300000000000072</v>
      </c>
      <c r="C272" s="59">
        <f t="shared" si="18"/>
        <v>0.25</v>
      </c>
      <c r="D272" s="62">
        <f t="shared" si="19"/>
        <v>9.1896407685880897E-3</v>
      </c>
      <c r="E272" s="61">
        <f t="shared" si="20"/>
        <v>0.25918964076858808</v>
      </c>
      <c r="F272" s="60">
        <f t="shared" si="21"/>
        <v>-0.25918964076858808</v>
      </c>
    </row>
    <row r="273" spans="2:6" x14ac:dyDescent="0.25">
      <c r="B273" s="59">
        <f t="shared" si="17"/>
        <v>13.350000000000072</v>
      </c>
      <c r="C273" s="59">
        <f t="shared" si="18"/>
        <v>0.25</v>
      </c>
      <c r="D273" s="62">
        <f t="shared" si="19"/>
        <v>9.1552226383686576E-3</v>
      </c>
      <c r="E273" s="61">
        <f t="shared" si="20"/>
        <v>0.25915522263836865</v>
      </c>
      <c r="F273" s="60">
        <f t="shared" si="21"/>
        <v>-0.25915522263836865</v>
      </c>
    </row>
    <row r="274" spans="2:6" x14ac:dyDescent="0.25">
      <c r="B274" s="59">
        <f t="shared" si="17"/>
        <v>13.400000000000073</v>
      </c>
      <c r="C274" s="59">
        <f t="shared" si="18"/>
        <v>0.25</v>
      </c>
      <c r="D274" s="62">
        <f t="shared" si="19"/>
        <v>9.1210613598672816E-3</v>
      </c>
      <c r="E274" s="61">
        <f t="shared" si="20"/>
        <v>0.25912106135986729</v>
      </c>
      <c r="F274" s="60">
        <f t="shared" si="21"/>
        <v>-0.25912106135986729</v>
      </c>
    </row>
    <row r="275" spans="2:6" x14ac:dyDescent="0.25">
      <c r="B275" s="59">
        <f t="shared" si="17"/>
        <v>13.450000000000074</v>
      </c>
      <c r="C275" s="59">
        <f t="shared" si="18"/>
        <v>0.25</v>
      </c>
      <c r="D275" s="62">
        <f t="shared" si="19"/>
        <v>9.0871540685666594E-3</v>
      </c>
      <c r="E275" s="61">
        <f t="shared" si="20"/>
        <v>0.25908715406856664</v>
      </c>
      <c r="F275" s="60">
        <f t="shared" si="21"/>
        <v>-0.25908715406856664</v>
      </c>
    </row>
    <row r="276" spans="2:6" x14ac:dyDescent="0.25">
      <c r="B276" s="59">
        <f t="shared" si="17"/>
        <v>13.500000000000075</v>
      </c>
      <c r="C276" s="59">
        <f t="shared" si="18"/>
        <v>0.25</v>
      </c>
      <c r="D276" s="62">
        <f t="shared" si="19"/>
        <v>9.0534979423867821E-3</v>
      </c>
      <c r="E276" s="61">
        <f t="shared" si="20"/>
        <v>0.2590534979423868</v>
      </c>
      <c r="F276" s="60">
        <f t="shared" si="21"/>
        <v>-0.2590534979423868</v>
      </c>
    </row>
    <row r="277" spans="2:6" x14ac:dyDescent="0.25">
      <c r="B277" s="59">
        <f t="shared" si="17"/>
        <v>13.550000000000075</v>
      </c>
      <c r="C277" s="59">
        <f t="shared" si="18"/>
        <v>0.25</v>
      </c>
      <c r="D277" s="62">
        <f t="shared" si="19"/>
        <v>9.0200902009019597E-3</v>
      </c>
      <c r="E277" s="61">
        <f t="shared" si="20"/>
        <v>0.25902009020090194</v>
      </c>
      <c r="F277" s="60">
        <f t="shared" si="21"/>
        <v>-0.25902009020090194</v>
      </c>
    </row>
    <row r="278" spans="2:6" x14ac:dyDescent="0.25">
      <c r="B278" s="59">
        <f t="shared" si="17"/>
        <v>13.600000000000076</v>
      </c>
      <c r="C278" s="59">
        <f t="shared" si="18"/>
        <v>0.25</v>
      </c>
      <c r="D278" s="62">
        <f t="shared" si="19"/>
        <v>8.9869281045751141E-3</v>
      </c>
      <c r="E278" s="61">
        <f t="shared" si="20"/>
        <v>0.25898692810457513</v>
      </c>
      <c r="F278" s="60">
        <f t="shared" si="21"/>
        <v>-0.25898692810457513</v>
      </c>
    </row>
    <row r="279" spans="2:6" x14ac:dyDescent="0.25">
      <c r="B279" s="59">
        <f t="shared" ref="B279:B342" si="22">B278+0.05</f>
        <v>13.650000000000077</v>
      </c>
      <c r="C279" s="59">
        <f t="shared" si="18"/>
        <v>0.25</v>
      </c>
      <c r="D279" s="62">
        <f t="shared" si="19"/>
        <v>8.9540089540089043E-3</v>
      </c>
      <c r="E279" s="61">
        <f t="shared" si="20"/>
        <v>0.25895400895400889</v>
      </c>
      <c r="F279" s="60">
        <f t="shared" si="21"/>
        <v>-0.25895400895400889</v>
      </c>
    </row>
    <row r="280" spans="2:6" x14ac:dyDescent="0.25">
      <c r="B280" s="59">
        <f t="shared" si="22"/>
        <v>13.700000000000077</v>
      </c>
      <c r="C280" s="59">
        <f t="shared" si="18"/>
        <v>0.25</v>
      </c>
      <c r="D280" s="62">
        <f t="shared" si="19"/>
        <v>8.9213300892132513E-3</v>
      </c>
      <c r="E280" s="61">
        <f t="shared" si="20"/>
        <v>0.25892133008921325</v>
      </c>
      <c r="F280" s="60">
        <f t="shared" si="21"/>
        <v>-0.25892133008921325</v>
      </c>
    </row>
    <row r="281" spans="2:6" x14ac:dyDescent="0.25">
      <c r="B281" s="59">
        <f t="shared" si="22"/>
        <v>13.750000000000078</v>
      </c>
      <c r="C281" s="59">
        <f t="shared" si="18"/>
        <v>0.25</v>
      </c>
      <c r="D281" s="62">
        <f t="shared" si="19"/>
        <v>8.8888888888888386E-3</v>
      </c>
      <c r="E281" s="61">
        <f t="shared" si="20"/>
        <v>0.25888888888888884</v>
      </c>
      <c r="F281" s="60">
        <f t="shared" si="21"/>
        <v>-0.25888888888888884</v>
      </c>
    </row>
    <row r="282" spans="2:6" x14ac:dyDescent="0.25">
      <c r="B282" s="59">
        <f t="shared" si="22"/>
        <v>13.800000000000079</v>
      </c>
      <c r="C282" s="59">
        <f t="shared" si="18"/>
        <v>0.25</v>
      </c>
      <c r="D282" s="62">
        <f t="shared" si="19"/>
        <v>8.8566827697261988E-3</v>
      </c>
      <c r="E282" s="61">
        <f t="shared" si="20"/>
        <v>0.25885668276972618</v>
      </c>
      <c r="F282" s="60">
        <f t="shared" si="21"/>
        <v>-0.25885668276972618</v>
      </c>
    </row>
    <row r="283" spans="2:6" x14ac:dyDescent="0.25">
      <c r="B283" s="59">
        <f t="shared" si="22"/>
        <v>13.85000000000008</v>
      </c>
      <c r="C283" s="59">
        <f t="shared" si="18"/>
        <v>0.25</v>
      </c>
      <c r="D283" s="62">
        <f t="shared" si="19"/>
        <v>8.8247091857199672E-3</v>
      </c>
      <c r="E283" s="61">
        <f t="shared" si="20"/>
        <v>0.25882470918571998</v>
      </c>
      <c r="F283" s="60">
        <f t="shared" si="21"/>
        <v>-0.25882470918571998</v>
      </c>
    </row>
    <row r="284" spans="2:6" x14ac:dyDescent="0.25">
      <c r="B284" s="59">
        <f t="shared" si="22"/>
        <v>13.90000000000008</v>
      </c>
      <c r="C284" s="59">
        <f t="shared" si="18"/>
        <v>0.25</v>
      </c>
      <c r="D284" s="62">
        <f t="shared" si="19"/>
        <v>8.7929656274979527E-3</v>
      </c>
      <c r="E284" s="61">
        <f t="shared" si="20"/>
        <v>0.25879296562749793</v>
      </c>
      <c r="F284" s="60">
        <f t="shared" si="21"/>
        <v>-0.25879296562749793</v>
      </c>
    </row>
    <row r="285" spans="2:6" x14ac:dyDescent="0.25">
      <c r="B285" s="59">
        <f t="shared" si="22"/>
        <v>13.950000000000081</v>
      </c>
      <c r="C285" s="59">
        <f t="shared" si="18"/>
        <v>0.25</v>
      </c>
      <c r="D285" s="62">
        <f t="shared" si="19"/>
        <v>8.7614496216646253E-3</v>
      </c>
      <c r="E285" s="61">
        <f t="shared" si="20"/>
        <v>0.25876144962166464</v>
      </c>
      <c r="F285" s="60">
        <f t="shared" si="21"/>
        <v>-0.25876144962166464</v>
      </c>
    </row>
    <row r="286" spans="2:6" x14ac:dyDescent="0.25">
      <c r="B286" s="59">
        <f t="shared" si="22"/>
        <v>14.000000000000082</v>
      </c>
      <c r="C286" s="59">
        <f t="shared" si="18"/>
        <v>0.25</v>
      </c>
      <c r="D286" s="62">
        <f t="shared" si="19"/>
        <v>8.7301587301586801E-3</v>
      </c>
      <c r="E286" s="61">
        <f t="shared" si="20"/>
        <v>0.2587301587301587</v>
      </c>
      <c r="F286" s="60">
        <f t="shared" si="21"/>
        <v>-0.2587301587301587</v>
      </c>
    </row>
    <row r="287" spans="2:6" x14ac:dyDescent="0.25">
      <c r="B287" s="59">
        <f t="shared" si="22"/>
        <v>14.050000000000082</v>
      </c>
      <c r="C287" s="59">
        <f t="shared" si="18"/>
        <v>0.25</v>
      </c>
      <c r="D287" s="62">
        <f t="shared" si="19"/>
        <v>8.6990905496243075E-3</v>
      </c>
      <c r="E287" s="61">
        <f t="shared" si="20"/>
        <v>0.25869909054962431</v>
      </c>
      <c r="F287" s="60">
        <f t="shared" si="21"/>
        <v>-0.25869909054962431</v>
      </c>
    </row>
    <row r="288" spans="2:6" x14ac:dyDescent="0.25">
      <c r="B288" s="59">
        <f t="shared" si="22"/>
        <v>14.100000000000083</v>
      </c>
      <c r="C288" s="59">
        <f t="shared" si="18"/>
        <v>0.25</v>
      </c>
      <c r="D288" s="62">
        <f t="shared" si="19"/>
        <v>8.6682427107958523E-3</v>
      </c>
      <c r="E288" s="61">
        <f t="shared" si="20"/>
        <v>0.25866824271079586</v>
      </c>
      <c r="F288" s="60">
        <f t="shared" si="21"/>
        <v>-0.25866824271079586</v>
      </c>
    </row>
    <row r="289" spans="2:6" x14ac:dyDescent="0.25">
      <c r="B289" s="59">
        <f t="shared" si="22"/>
        <v>14.150000000000084</v>
      </c>
      <c r="C289" s="59">
        <f t="shared" si="18"/>
        <v>0.25</v>
      </c>
      <c r="D289" s="62">
        <f t="shared" si="19"/>
        <v>8.6376128778955143E-3</v>
      </c>
      <c r="E289" s="61">
        <f t="shared" si="20"/>
        <v>0.2586376128778955</v>
      </c>
      <c r="F289" s="60">
        <f t="shared" si="21"/>
        <v>-0.2586376128778955</v>
      </c>
    </row>
    <row r="290" spans="2:6" x14ac:dyDescent="0.25">
      <c r="B290" s="59">
        <f t="shared" si="22"/>
        <v>14.200000000000085</v>
      </c>
      <c r="C290" s="59">
        <f t="shared" si="18"/>
        <v>0.25</v>
      </c>
      <c r="D290" s="62">
        <f t="shared" si="19"/>
        <v>8.6071987480437675E-3</v>
      </c>
      <c r="E290" s="61">
        <f t="shared" si="20"/>
        <v>0.25860719874804378</v>
      </c>
      <c r="F290" s="60">
        <f t="shared" si="21"/>
        <v>-0.25860719874804378</v>
      </c>
    </row>
    <row r="291" spans="2:6" x14ac:dyDescent="0.25">
      <c r="B291" s="59">
        <f t="shared" si="22"/>
        <v>14.250000000000085</v>
      </c>
      <c r="C291" s="59">
        <f t="shared" si="18"/>
        <v>0.25</v>
      </c>
      <c r="D291" s="62">
        <f t="shared" si="19"/>
        <v>8.5769980506822108E-3</v>
      </c>
      <c r="E291" s="61">
        <f t="shared" si="20"/>
        <v>0.25857699805068224</v>
      </c>
      <c r="F291" s="60">
        <f t="shared" si="21"/>
        <v>-0.25857699805068224</v>
      </c>
    </row>
    <row r="292" spans="2:6" x14ac:dyDescent="0.25">
      <c r="B292" s="59">
        <f t="shared" si="22"/>
        <v>14.300000000000086</v>
      </c>
      <c r="C292" s="59">
        <f t="shared" si="18"/>
        <v>0.25</v>
      </c>
      <c r="D292" s="62">
        <f t="shared" si="19"/>
        <v>8.5470085470084976E-3</v>
      </c>
      <c r="E292" s="61">
        <f t="shared" si="20"/>
        <v>0.25854700854700852</v>
      </c>
      <c r="F292" s="60">
        <f t="shared" si="21"/>
        <v>-0.25854700854700852</v>
      </c>
    </row>
    <row r="293" spans="2:6" x14ac:dyDescent="0.25">
      <c r="B293" s="59">
        <f t="shared" si="22"/>
        <v>14.350000000000087</v>
      </c>
      <c r="C293" s="59">
        <f t="shared" si="18"/>
        <v>0.25</v>
      </c>
      <c r="D293" s="62">
        <f t="shared" si="19"/>
        <v>8.5172280294231011E-3</v>
      </c>
      <c r="E293" s="61">
        <f t="shared" si="20"/>
        <v>0.25851722802942312</v>
      </c>
      <c r="F293" s="60">
        <f t="shared" si="21"/>
        <v>-0.25851722802942312</v>
      </c>
    </row>
    <row r="294" spans="2:6" x14ac:dyDescent="0.25">
      <c r="B294" s="59">
        <f t="shared" si="22"/>
        <v>14.400000000000087</v>
      </c>
      <c r="C294" s="59">
        <f t="shared" si="18"/>
        <v>0.25</v>
      </c>
      <c r="D294" s="62">
        <f t="shared" si="19"/>
        <v>8.4876543209876035E-3</v>
      </c>
      <c r="E294" s="61">
        <f t="shared" si="20"/>
        <v>0.25848765432098758</v>
      </c>
      <c r="F294" s="60">
        <f t="shared" si="21"/>
        <v>-0.25848765432098758</v>
      </c>
    </row>
    <row r="295" spans="2:6" x14ac:dyDescent="0.25">
      <c r="B295" s="59">
        <f t="shared" si="22"/>
        <v>14.450000000000088</v>
      </c>
      <c r="C295" s="59">
        <f t="shared" si="18"/>
        <v>0.25</v>
      </c>
      <c r="D295" s="62">
        <f t="shared" si="19"/>
        <v>8.4582852748942214E-3</v>
      </c>
      <c r="E295" s="61">
        <f t="shared" si="20"/>
        <v>0.25845828527489423</v>
      </c>
      <c r="F295" s="60">
        <f t="shared" si="21"/>
        <v>-0.25845828527489423</v>
      </c>
    </row>
    <row r="296" spans="2:6" x14ac:dyDescent="0.25">
      <c r="B296" s="59">
        <f t="shared" si="22"/>
        <v>14.500000000000089</v>
      </c>
      <c r="C296" s="59">
        <f t="shared" si="18"/>
        <v>0.25</v>
      </c>
      <c r="D296" s="62">
        <f t="shared" si="19"/>
        <v>8.4291187739463109E-3</v>
      </c>
      <c r="E296" s="61">
        <f t="shared" si="20"/>
        <v>0.25842911877394631</v>
      </c>
      <c r="F296" s="60">
        <f t="shared" si="21"/>
        <v>-0.25842911877394631</v>
      </c>
    </row>
    <row r="297" spans="2:6" x14ac:dyDescent="0.25">
      <c r="B297" s="59">
        <f t="shared" si="22"/>
        <v>14.55000000000009</v>
      </c>
      <c r="C297" s="59">
        <f t="shared" si="18"/>
        <v>0.25</v>
      </c>
      <c r="D297" s="62">
        <f t="shared" si="19"/>
        <v>8.400152730049586E-3</v>
      </c>
      <c r="E297" s="61">
        <f t="shared" si="20"/>
        <v>0.25840015273004957</v>
      </c>
      <c r="F297" s="60">
        <f t="shared" si="21"/>
        <v>-0.25840015273004957</v>
      </c>
    </row>
    <row r="298" spans="2:6" x14ac:dyDescent="0.25">
      <c r="B298" s="59">
        <f t="shared" si="22"/>
        <v>14.60000000000009</v>
      </c>
      <c r="C298" s="59">
        <f t="shared" si="18"/>
        <v>0.25</v>
      </c>
      <c r="D298" s="62">
        <f t="shared" si="19"/>
        <v>8.3713850837138001E-3</v>
      </c>
      <c r="E298" s="61">
        <f t="shared" si="20"/>
        <v>0.25837138508371382</v>
      </c>
      <c r="F298" s="60">
        <f t="shared" si="21"/>
        <v>-0.25837138508371382</v>
      </c>
    </row>
    <row r="299" spans="2:6" x14ac:dyDescent="0.25">
      <c r="B299" s="59">
        <f t="shared" si="22"/>
        <v>14.650000000000091</v>
      </c>
      <c r="C299" s="59">
        <f t="shared" si="18"/>
        <v>0.25</v>
      </c>
      <c r="D299" s="62">
        <f t="shared" si="19"/>
        <v>8.3428138035646065E-3</v>
      </c>
      <c r="E299" s="61">
        <f t="shared" si="20"/>
        <v>0.25834281380356461</v>
      </c>
      <c r="F299" s="60">
        <f t="shared" si="21"/>
        <v>-0.25834281380356461</v>
      </c>
    </row>
    <row r="300" spans="2:6" x14ac:dyDescent="0.25">
      <c r="B300" s="59">
        <f t="shared" si="22"/>
        <v>14.700000000000092</v>
      </c>
      <c r="C300" s="59">
        <f t="shared" si="18"/>
        <v>0.25</v>
      </c>
      <c r="D300" s="62">
        <f t="shared" si="19"/>
        <v>8.3144368858654068E-3</v>
      </c>
      <c r="E300" s="61">
        <f t="shared" si="20"/>
        <v>0.25831443688586542</v>
      </c>
      <c r="F300" s="60">
        <f t="shared" si="21"/>
        <v>-0.25831443688586542</v>
      </c>
    </row>
    <row r="301" spans="2:6" x14ac:dyDescent="0.25">
      <c r="B301" s="59">
        <f t="shared" si="22"/>
        <v>14.750000000000092</v>
      </c>
      <c r="C301" s="59">
        <f t="shared" si="18"/>
        <v>0.25</v>
      </c>
      <c r="D301" s="62">
        <f t="shared" si="19"/>
        <v>8.2862523540489143E-3</v>
      </c>
      <c r="E301" s="61">
        <f t="shared" si="20"/>
        <v>0.2582862523540489</v>
      </c>
      <c r="F301" s="60">
        <f t="shared" si="21"/>
        <v>-0.2582862523540489</v>
      </c>
    </row>
    <row r="302" spans="2:6" x14ac:dyDescent="0.25">
      <c r="B302" s="59">
        <f t="shared" si="22"/>
        <v>14.800000000000093</v>
      </c>
      <c r="C302" s="59">
        <f t="shared" si="18"/>
        <v>0.25</v>
      </c>
      <c r="D302" s="62">
        <f t="shared" si="19"/>
        <v>8.2582582582582074E-3</v>
      </c>
      <c r="E302" s="61">
        <f t="shared" si="20"/>
        <v>0.25825825825825821</v>
      </c>
      <c r="F302" s="60">
        <f t="shared" si="21"/>
        <v>-0.25825825825825821</v>
      </c>
    </row>
    <row r="303" spans="2:6" x14ac:dyDescent="0.25">
      <c r="B303" s="59">
        <f t="shared" si="22"/>
        <v>14.850000000000094</v>
      </c>
      <c r="C303" s="59">
        <f t="shared" si="18"/>
        <v>0.25</v>
      </c>
      <c r="D303" s="62">
        <f t="shared" si="19"/>
        <v>8.230452674897068E-3</v>
      </c>
      <c r="E303" s="61">
        <f t="shared" si="20"/>
        <v>0.25823045267489708</v>
      </c>
      <c r="F303" s="60">
        <f t="shared" si="21"/>
        <v>-0.25823045267489708</v>
      </c>
    </row>
    <row r="304" spans="2:6" x14ac:dyDescent="0.25">
      <c r="B304" s="59">
        <f t="shared" si="22"/>
        <v>14.900000000000095</v>
      </c>
      <c r="C304" s="59">
        <f t="shared" si="18"/>
        <v>0.25</v>
      </c>
      <c r="D304" s="62">
        <f t="shared" si="19"/>
        <v>8.2028337061893601E-3</v>
      </c>
      <c r="E304" s="61">
        <f t="shared" si="20"/>
        <v>0.25820283370618935</v>
      </c>
      <c r="F304" s="60">
        <f t="shared" si="21"/>
        <v>-0.25820283370618935</v>
      </c>
    </row>
    <row r="305" spans="2:6" x14ac:dyDescent="0.25">
      <c r="B305" s="59">
        <f t="shared" si="22"/>
        <v>14.950000000000095</v>
      </c>
      <c r="C305" s="59">
        <f t="shared" si="18"/>
        <v>0.25</v>
      </c>
      <c r="D305" s="62">
        <f t="shared" si="19"/>
        <v>8.1753994797472557E-3</v>
      </c>
      <c r="E305" s="61">
        <f t="shared" si="20"/>
        <v>0.25817539947974727</v>
      </c>
      <c r="F305" s="60">
        <f t="shared" si="21"/>
        <v>-0.25817539947974727</v>
      </c>
    </row>
    <row r="306" spans="2:6" x14ac:dyDescent="0.25">
      <c r="B306" s="59">
        <f t="shared" si="22"/>
        <v>15.000000000000096</v>
      </c>
      <c r="C306" s="59">
        <f t="shared" si="18"/>
        <v>0.25</v>
      </c>
      <c r="D306" s="62">
        <f t="shared" si="19"/>
        <v>8.1481481481480971E-3</v>
      </c>
      <c r="E306" s="61">
        <f t="shared" si="20"/>
        <v>0.25814814814814807</v>
      </c>
      <c r="F306" s="60">
        <f t="shared" si="21"/>
        <v>-0.25814814814814807</v>
      </c>
    </row>
    <row r="307" spans="2:6" x14ac:dyDescent="0.25">
      <c r="B307" s="59">
        <f t="shared" si="22"/>
        <v>15.050000000000097</v>
      </c>
      <c r="C307" s="59">
        <f t="shared" si="18"/>
        <v>0.25</v>
      </c>
      <c r="D307" s="62">
        <f t="shared" si="19"/>
        <v>8.1210778885196979E-3</v>
      </c>
      <c r="E307" s="61">
        <f t="shared" si="20"/>
        <v>0.25812107788851968</v>
      </c>
      <c r="F307" s="60">
        <f t="shared" si="21"/>
        <v>-0.25812107788851968</v>
      </c>
    </row>
    <row r="308" spans="2:6" x14ac:dyDescent="0.25">
      <c r="B308" s="59">
        <f t="shared" si="22"/>
        <v>15.100000000000097</v>
      </c>
      <c r="C308" s="59">
        <f t="shared" si="18"/>
        <v>0.25</v>
      </c>
      <c r="D308" s="62">
        <f t="shared" si="19"/>
        <v>8.0941869021338708E-3</v>
      </c>
      <c r="E308" s="61">
        <f t="shared" si="20"/>
        <v>0.25809418690213387</v>
      </c>
      <c r="F308" s="60">
        <f t="shared" si="21"/>
        <v>-0.25809418690213387</v>
      </c>
    </row>
    <row r="309" spans="2:6" x14ac:dyDescent="0.25">
      <c r="B309" s="59">
        <f t="shared" si="22"/>
        <v>15.150000000000098</v>
      </c>
      <c r="C309" s="59">
        <f t="shared" si="18"/>
        <v>0.25</v>
      </c>
      <c r="D309" s="62">
        <f t="shared" si="19"/>
        <v>8.0674734140080175E-3</v>
      </c>
      <c r="E309" s="61">
        <f t="shared" si="20"/>
        <v>0.25806747341400804</v>
      </c>
      <c r="F309" s="60">
        <f t="shared" si="21"/>
        <v>-0.25806747341400804</v>
      </c>
    </row>
    <row r="310" spans="2:6" x14ac:dyDescent="0.25">
      <c r="B310" s="59">
        <f t="shared" si="22"/>
        <v>15.200000000000099</v>
      </c>
      <c r="C310" s="59">
        <f t="shared" si="18"/>
        <v>0.25</v>
      </c>
      <c r="D310" s="62">
        <f t="shared" si="19"/>
        <v>8.0409356725145691E-3</v>
      </c>
      <c r="E310" s="61">
        <f t="shared" si="20"/>
        <v>0.25804093567251457</v>
      </c>
      <c r="F310" s="60">
        <f t="shared" si="21"/>
        <v>-0.25804093567251457</v>
      </c>
    </row>
    <row r="311" spans="2:6" x14ac:dyDescent="0.25">
      <c r="B311" s="59">
        <f t="shared" si="22"/>
        <v>15.250000000000099</v>
      </c>
      <c r="C311" s="59">
        <f t="shared" si="18"/>
        <v>0.25</v>
      </c>
      <c r="D311" s="62">
        <f t="shared" si="19"/>
        <v>8.0145719489981282E-3</v>
      </c>
      <c r="E311" s="61">
        <f t="shared" si="20"/>
        <v>0.25801457194899813</v>
      </c>
      <c r="F311" s="60">
        <f t="shared" si="21"/>
        <v>-0.25801457194899813</v>
      </c>
    </row>
    <row r="312" spans="2:6" x14ac:dyDescent="0.25">
      <c r="B312" s="59">
        <f t="shared" si="22"/>
        <v>15.3000000000001</v>
      </c>
      <c r="C312" s="59">
        <f t="shared" si="18"/>
        <v>0.25</v>
      </c>
      <c r="D312" s="62">
        <f t="shared" si="19"/>
        <v>7.988380537400093E-3</v>
      </c>
      <c r="E312" s="61">
        <f t="shared" si="20"/>
        <v>0.25798838053740009</v>
      </c>
      <c r="F312" s="60">
        <f t="shared" si="21"/>
        <v>-0.25798838053740009</v>
      </c>
    </row>
    <row r="313" spans="2:6" x14ac:dyDescent="0.25">
      <c r="B313" s="59">
        <f t="shared" si="22"/>
        <v>15.350000000000101</v>
      </c>
      <c r="C313" s="59">
        <f t="shared" si="18"/>
        <v>0.25</v>
      </c>
      <c r="D313" s="62">
        <f t="shared" si="19"/>
        <v>7.9623597538906483E-3</v>
      </c>
      <c r="E313" s="61">
        <f t="shared" si="20"/>
        <v>0.25796235975389065</v>
      </c>
      <c r="F313" s="60">
        <f t="shared" si="21"/>
        <v>-0.25796235975389065</v>
      </c>
    </row>
    <row r="314" spans="2:6" x14ac:dyDescent="0.25">
      <c r="B314" s="59">
        <f t="shared" si="22"/>
        <v>15.400000000000102</v>
      </c>
      <c r="C314" s="59">
        <f t="shared" si="18"/>
        <v>0.25</v>
      </c>
      <c r="D314" s="62">
        <f t="shared" si="19"/>
        <v>7.9365079365078858E-3</v>
      </c>
      <c r="E314" s="61">
        <f t="shared" si="20"/>
        <v>0.25793650793650791</v>
      </c>
      <c r="F314" s="60">
        <f t="shared" si="21"/>
        <v>-0.25793650793650791</v>
      </c>
    </row>
    <row r="315" spans="2:6" x14ac:dyDescent="0.25">
      <c r="B315" s="59">
        <f t="shared" si="22"/>
        <v>15.450000000000102</v>
      </c>
      <c r="C315" s="59">
        <f t="shared" si="18"/>
        <v>0.25</v>
      </c>
      <c r="D315" s="62">
        <f t="shared" si="19"/>
        <v>7.9108234448039758E-3</v>
      </c>
      <c r="E315" s="61">
        <f t="shared" si="20"/>
        <v>0.25791082344480398</v>
      </c>
      <c r="F315" s="60">
        <f t="shared" si="21"/>
        <v>-0.25791082344480398</v>
      </c>
    </row>
    <row r="316" spans="2:6" x14ac:dyDescent="0.25">
      <c r="B316" s="59">
        <f t="shared" si="22"/>
        <v>15.500000000000103</v>
      </c>
      <c r="C316" s="59">
        <f t="shared" si="18"/>
        <v>0.25</v>
      </c>
      <c r="D316" s="62">
        <f t="shared" si="19"/>
        <v>7.8853046594981567E-3</v>
      </c>
      <c r="E316" s="61">
        <f t="shared" si="20"/>
        <v>0.25788530465949816</v>
      </c>
      <c r="F316" s="60">
        <f t="shared" si="21"/>
        <v>-0.25788530465949816</v>
      </c>
    </row>
    <row r="317" spans="2:6" x14ac:dyDescent="0.25">
      <c r="B317" s="59">
        <f t="shared" si="22"/>
        <v>15.550000000000104</v>
      </c>
      <c r="C317" s="59">
        <f t="shared" si="18"/>
        <v>0.25</v>
      </c>
      <c r="D317" s="62">
        <f t="shared" si="19"/>
        <v>7.8599499821364275E-3</v>
      </c>
      <c r="E317" s="61">
        <f t="shared" si="20"/>
        <v>0.2578599499821364</v>
      </c>
      <c r="F317" s="60">
        <f t="shared" si="21"/>
        <v>-0.2578599499821364</v>
      </c>
    </row>
    <row r="318" spans="2:6" x14ac:dyDescent="0.25">
      <c r="B318" s="59">
        <f t="shared" si="22"/>
        <v>15.600000000000104</v>
      </c>
      <c r="C318" s="59">
        <f t="shared" si="18"/>
        <v>0.25</v>
      </c>
      <c r="D318" s="62">
        <f t="shared" si="19"/>
        <v>7.8347578347577832E-3</v>
      </c>
      <c r="E318" s="61">
        <f t="shared" si="20"/>
        <v>0.25783475783475779</v>
      </c>
      <c r="F318" s="60">
        <f t="shared" si="21"/>
        <v>-0.25783475783475779</v>
      </c>
    </row>
    <row r="319" spans="2:6" x14ac:dyDescent="0.25">
      <c r="B319" s="59">
        <f t="shared" si="22"/>
        <v>15.650000000000105</v>
      </c>
      <c r="C319" s="59">
        <f t="shared" si="18"/>
        <v>0.25</v>
      </c>
      <c r="D319" s="62">
        <f t="shared" si="19"/>
        <v>7.8097266595668641E-3</v>
      </c>
      <c r="E319" s="61">
        <f t="shared" si="20"/>
        <v>0.25780972665956686</v>
      </c>
      <c r="F319" s="60">
        <f t="shared" si="21"/>
        <v>-0.25780972665956686</v>
      </c>
    </row>
    <row r="320" spans="2:6" x14ac:dyDescent="0.25">
      <c r="B320" s="59">
        <f t="shared" si="22"/>
        <v>15.700000000000106</v>
      </c>
      <c r="C320" s="59">
        <f t="shared" si="18"/>
        <v>0.25</v>
      </c>
      <c r="D320" s="62">
        <f t="shared" si="19"/>
        <v>7.7848549186128289E-3</v>
      </c>
      <c r="E320" s="61">
        <f t="shared" si="20"/>
        <v>0.2577848549186128</v>
      </c>
      <c r="F320" s="60">
        <f t="shared" si="21"/>
        <v>-0.2577848549186128</v>
      </c>
    </row>
    <row r="321" spans="2:6" x14ac:dyDescent="0.25">
      <c r="B321" s="59">
        <f t="shared" si="22"/>
        <v>15.750000000000107</v>
      </c>
      <c r="C321" s="59">
        <f t="shared" si="18"/>
        <v>0.25</v>
      </c>
      <c r="D321" s="62">
        <f t="shared" si="19"/>
        <v>7.7601410934743757E-3</v>
      </c>
      <c r="E321" s="61">
        <f t="shared" si="20"/>
        <v>0.25776014109347439</v>
      </c>
      <c r="F321" s="60">
        <f t="shared" si="21"/>
        <v>-0.25776014109347439</v>
      </c>
    </row>
    <row r="322" spans="2:6" x14ac:dyDescent="0.25">
      <c r="B322" s="59">
        <f t="shared" si="22"/>
        <v>15.800000000000107</v>
      </c>
      <c r="C322" s="59">
        <f t="shared" si="18"/>
        <v>0.25</v>
      </c>
      <c r="D322" s="62">
        <f t="shared" si="19"/>
        <v>7.7355836849507219E-3</v>
      </c>
      <c r="E322" s="61">
        <f t="shared" si="20"/>
        <v>0.2577355836849507</v>
      </c>
      <c r="F322" s="60">
        <f t="shared" si="21"/>
        <v>-0.2577355836849507</v>
      </c>
    </row>
    <row r="323" spans="2:6" x14ac:dyDescent="0.25">
      <c r="B323" s="59">
        <f t="shared" si="22"/>
        <v>15.850000000000108</v>
      </c>
      <c r="C323" s="59">
        <f t="shared" si="18"/>
        <v>0.25</v>
      </c>
      <c r="D323" s="62">
        <f t="shared" si="19"/>
        <v>7.711181212758449E-3</v>
      </c>
      <c r="E323" s="61">
        <f t="shared" si="20"/>
        <v>0.25771118121275843</v>
      </c>
      <c r="F323" s="60">
        <f t="shared" si="21"/>
        <v>-0.25771118121275843</v>
      </c>
    </row>
    <row r="324" spans="2:6" x14ac:dyDescent="0.25">
      <c r="B324" s="59">
        <f t="shared" si="22"/>
        <v>15.900000000000109</v>
      </c>
      <c r="C324" s="59">
        <f t="shared" si="18"/>
        <v>0.25</v>
      </c>
      <c r="D324" s="62">
        <f t="shared" si="19"/>
        <v>7.6869322152340498E-3</v>
      </c>
      <c r="E324" s="61">
        <f t="shared" si="20"/>
        <v>0.25768693221523403</v>
      </c>
      <c r="F324" s="60">
        <f t="shared" si="21"/>
        <v>-0.25768693221523403</v>
      </c>
    </row>
    <row r="325" spans="2:6" x14ac:dyDescent="0.25">
      <c r="B325" s="59">
        <f t="shared" si="22"/>
        <v>15.950000000000109</v>
      </c>
      <c r="C325" s="59">
        <f t="shared" si="18"/>
        <v>0.25</v>
      </c>
      <c r="D325" s="62">
        <f t="shared" si="19"/>
        <v>7.662835249042094E-3</v>
      </c>
      <c r="E325" s="61">
        <f t="shared" si="20"/>
        <v>0.2576628352490421</v>
      </c>
      <c r="F325" s="60">
        <f t="shared" si="21"/>
        <v>-0.2576628352490421</v>
      </c>
    </row>
    <row r="326" spans="2:6" x14ac:dyDescent="0.25">
      <c r="B326" s="59">
        <f t="shared" si="22"/>
        <v>16.00000000000011</v>
      </c>
      <c r="C326" s="59">
        <f t="shared" ref="C326:C358" si="23">$C$4</f>
        <v>0.25</v>
      </c>
      <c r="D326" s="62">
        <f t="shared" ref="D326:D358" si="24">$F$2/B326*100</f>
        <v>7.6388888888888375E-3</v>
      </c>
      <c r="E326" s="61">
        <f t="shared" ref="E326:E358" si="25">C326+D326</f>
        <v>0.25763888888888886</v>
      </c>
      <c r="F326" s="60">
        <f t="shared" ref="F326:F358" si="26">E326*-1</f>
        <v>-0.25763888888888886</v>
      </c>
    </row>
    <row r="327" spans="2:6" x14ac:dyDescent="0.25">
      <c r="B327" s="59">
        <f t="shared" si="22"/>
        <v>16.050000000000111</v>
      </c>
      <c r="C327" s="59">
        <f t="shared" si="23"/>
        <v>0.25</v>
      </c>
      <c r="D327" s="62">
        <f t="shared" si="24"/>
        <v>7.6150917272412091E-3</v>
      </c>
      <c r="E327" s="61">
        <f t="shared" si="25"/>
        <v>0.25761509172724123</v>
      </c>
      <c r="F327" s="60">
        <f t="shared" si="26"/>
        <v>-0.25761509172724123</v>
      </c>
    </row>
    <row r="328" spans="2:6" x14ac:dyDescent="0.25">
      <c r="B328" s="59">
        <f t="shared" si="22"/>
        <v>16.100000000000112</v>
      </c>
      <c r="C328" s="59">
        <f t="shared" si="23"/>
        <v>0.25</v>
      </c>
      <c r="D328" s="62">
        <f t="shared" si="24"/>
        <v>7.5914423740510188E-3</v>
      </c>
      <c r="E328" s="61">
        <f t="shared" si="25"/>
        <v>0.25759144237405102</v>
      </c>
      <c r="F328" s="60">
        <f t="shared" si="26"/>
        <v>-0.25759144237405102</v>
      </c>
    </row>
    <row r="329" spans="2:6" x14ac:dyDescent="0.25">
      <c r="B329" s="59">
        <f t="shared" si="22"/>
        <v>16.150000000000112</v>
      </c>
      <c r="C329" s="59">
        <f t="shared" si="23"/>
        <v>0.25</v>
      </c>
      <c r="D329" s="62">
        <f t="shared" si="24"/>
        <v>7.5679394564842958E-3</v>
      </c>
      <c r="E329" s="61">
        <f t="shared" si="25"/>
        <v>0.25756793945648432</v>
      </c>
      <c r="F329" s="60">
        <f t="shared" si="26"/>
        <v>-0.25756793945648432</v>
      </c>
    </row>
    <row r="330" spans="2:6" x14ac:dyDescent="0.25">
      <c r="B330" s="59">
        <f t="shared" si="22"/>
        <v>16.200000000000113</v>
      </c>
      <c r="C330" s="59">
        <f t="shared" si="23"/>
        <v>0.25</v>
      </c>
      <c r="D330" s="62">
        <f t="shared" si="24"/>
        <v>7.5445816186556413E-3</v>
      </c>
      <c r="E330" s="61">
        <f t="shared" si="25"/>
        <v>0.25754458161865562</v>
      </c>
      <c r="F330" s="60">
        <f t="shared" si="26"/>
        <v>-0.25754458161865562</v>
      </c>
    </row>
    <row r="331" spans="2:6" x14ac:dyDescent="0.25">
      <c r="B331" s="59">
        <f t="shared" si="22"/>
        <v>16.250000000000114</v>
      </c>
      <c r="C331" s="59">
        <f t="shared" si="23"/>
        <v>0.25</v>
      </c>
      <c r="D331" s="62">
        <f t="shared" si="24"/>
        <v>7.5213675213674702E-3</v>
      </c>
      <c r="E331" s="61">
        <f t="shared" si="25"/>
        <v>0.25752136752136745</v>
      </c>
      <c r="F331" s="60">
        <f t="shared" si="26"/>
        <v>-0.25752136752136745</v>
      </c>
    </row>
    <row r="332" spans="2:6" x14ac:dyDescent="0.25">
      <c r="B332" s="59">
        <f t="shared" si="22"/>
        <v>16.300000000000114</v>
      </c>
      <c r="C332" s="59">
        <f t="shared" si="23"/>
        <v>0.25</v>
      </c>
      <c r="D332" s="62">
        <f t="shared" si="24"/>
        <v>7.4982958418540729E-3</v>
      </c>
      <c r="E332" s="61">
        <f t="shared" si="25"/>
        <v>0.25749829584185407</v>
      </c>
      <c r="F332" s="60">
        <f t="shared" si="26"/>
        <v>-0.25749829584185407</v>
      </c>
    </row>
    <row r="333" spans="2:6" x14ac:dyDescent="0.25">
      <c r="B333" s="59">
        <f t="shared" si="22"/>
        <v>16.350000000000115</v>
      </c>
      <c r="C333" s="59">
        <f t="shared" si="23"/>
        <v>0.25</v>
      </c>
      <c r="D333" s="62">
        <f t="shared" si="24"/>
        <v>7.4753652735303601E-3</v>
      </c>
      <c r="E333" s="61">
        <f t="shared" si="25"/>
        <v>0.25747536527353038</v>
      </c>
      <c r="F333" s="60">
        <f t="shared" si="26"/>
        <v>-0.25747536527353038</v>
      </c>
    </row>
    <row r="334" spans="2:6" x14ac:dyDescent="0.25">
      <c r="B334" s="59">
        <f t="shared" si="22"/>
        <v>16.400000000000116</v>
      </c>
      <c r="C334" s="59">
        <f t="shared" si="23"/>
        <v>0.25</v>
      </c>
      <c r="D334" s="62">
        <f t="shared" si="24"/>
        <v>7.4525745257452061E-3</v>
      </c>
      <c r="E334" s="61">
        <f t="shared" si="25"/>
        <v>0.25745257452574521</v>
      </c>
      <c r="F334" s="60">
        <f t="shared" si="26"/>
        <v>-0.25745257452574521</v>
      </c>
    </row>
    <row r="335" spans="2:6" x14ac:dyDescent="0.25">
      <c r="B335" s="59">
        <f t="shared" si="22"/>
        <v>16.450000000000117</v>
      </c>
      <c r="C335" s="59">
        <f t="shared" si="23"/>
        <v>0.25</v>
      </c>
      <c r="D335" s="62">
        <f t="shared" si="24"/>
        <v>7.4299223235392928E-3</v>
      </c>
      <c r="E335" s="61">
        <f t="shared" si="25"/>
        <v>0.25742992232353928</v>
      </c>
      <c r="F335" s="60">
        <f t="shared" si="26"/>
        <v>-0.25742992232353928</v>
      </c>
    </row>
    <row r="336" spans="2:6" x14ac:dyDescent="0.25">
      <c r="B336" s="59">
        <f t="shared" si="22"/>
        <v>16.500000000000117</v>
      </c>
      <c r="C336" s="59">
        <f t="shared" si="23"/>
        <v>0.25</v>
      </c>
      <c r="D336" s="62">
        <f t="shared" si="24"/>
        <v>7.4074074074073556E-3</v>
      </c>
      <c r="E336" s="61">
        <f t="shared" si="25"/>
        <v>0.25740740740740736</v>
      </c>
      <c r="F336" s="60">
        <f t="shared" si="26"/>
        <v>-0.25740740740740736</v>
      </c>
    </row>
    <row r="337" spans="2:6" x14ac:dyDescent="0.25">
      <c r="B337" s="59">
        <f t="shared" si="22"/>
        <v>16.550000000000118</v>
      </c>
      <c r="C337" s="59">
        <f t="shared" si="23"/>
        <v>0.25</v>
      </c>
      <c r="D337" s="62">
        <f t="shared" si="24"/>
        <v>7.3850285330647357E-3</v>
      </c>
      <c r="E337" s="61">
        <f t="shared" si="25"/>
        <v>0.25738502853306472</v>
      </c>
      <c r="F337" s="60">
        <f t="shared" si="26"/>
        <v>-0.25738502853306472</v>
      </c>
    </row>
    <row r="338" spans="2:6" x14ac:dyDescent="0.25">
      <c r="B338" s="59">
        <f t="shared" si="22"/>
        <v>16.600000000000119</v>
      </c>
      <c r="C338" s="59">
        <f t="shared" si="23"/>
        <v>0.25</v>
      </c>
      <c r="D338" s="62">
        <f t="shared" si="24"/>
        <v>7.3627844712181537E-3</v>
      </c>
      <c r="E338" s="61">
        <f t="shared" si="25"/>
        <v>0.25736278447121813</v>
      </c>
      <c r="F338" s="60">
        <f t="shared" si="26"/>
        <v>-0.25736278447121813</v>
      </c>
    </row>
    <row r="339" spans="2:6" x14ac:dyDescent="0.25">
      <c r="B339" s="59">
        <f t="shared" si="22"/>
        <v>16.650000000000119</v>
      </c>
      <c r="C339" s="59">
        <f t="shared" si="23"/>
        <v>0.25</v>
      </c>
      <c r="D339" s="62">
        <f t="shared" si="24"/>
        <v>7.3406740073406222E-3</v>
      </c>
      <c r="E339" s="61">
        <f t="shared" si="25"/>
        <v>0.25734067400734062</v>
      </c>
      <c r="F339" s="60">
        <f t="shared" si="26"/>
        <v>-0.25734067400734062</v>
      </c>
    </row>
    <row r="340" spans="2:6" x14ac:dyDescent="0.25">
      <c r="B340" s="59">
        <f t="shared" si="22"/>
        <v>16.70000000000012</v>
      </c>
      <c r="C340" s="59">
        <f t="shared" si="23"/>
        <v>0.25</v>
      </c>
      <c r="D340" s="62">
        <f t="shared" si="24"/>
        <v>7.3186959414503813E-3</v>
      </c>
      <c r="E340" s="61">
        <f t="shared" si="25"/>
        <v>0.2573186959414504</v>
      </c>
      <c r="F340" s="60">
        <f t="shared" si="26"/>
        <v>-0.2573186959414504</v>
      </c>
    </row>
    <row r="341" spans="2:6" x14ac:dyDescent="0.25">
      <c r="B341" s="59">
        <f t="shared" si="22"/>
        <v>16.750000000000121</v>
      </c>
      <c r="C341" s="59">
        <f t="shared" si="23"/>
        <v>0.25</v>
      </c>
      <c r="D341" s="62">
        <f t="shared" si="24"/>
        <v>7.2968490878938122E-3</v>
      </c>
      <c r="E341" s="61">
        <f t="shared" si="25"/>
        <v>0.2572968490878938</v>
      </c>
      <c r="F341" s="60">
        <f t="shared" si="26"/>
        <v>-0.2572968490878938</v>
      </c>
    </row>
    <row r="342" spans="2:6" x14ac:dyDescent="0.25">
      <c r="B342" s="59">
        <f t="shared" si="22"/>
        <v>16.800000000000122</v>
      </c>
      <c r="C342" s="59">
        <f t="shared" si="23"/>
        <v>0.25</v>
      </c>
      <c r="D342" s="62">
        <f t="shared" si="24"/>
        <v>7.2751322751322236E-3</v>
      </c>
      <c r="E342" s="61">
        <f t="shared" si="25"/>
        <v>0.25727513227513221</v>
      </c>
      <c r="F342" s="60">
        <f t="shared" si="26"/>
        <v>-0.25727513227513221</v>
      </c>
    </row>
    <row r="343" spans="2:6" x14ac:dyDescent="0.25">
      <c r="B343" s="59">
        <f t="shared" ref="B343:B358" si="27">B342+0.05</f>
        <v>16.850000000000122</v>
      </c>
      <c r="C343" s="59">
        <f t="shared" si="23"/>
        <v>0.25</v>
      </c>
      <c r="D343" s="62">
        <f t="shared" si="24"/>
        <v>7.2535443455324245E-3</v>
      </c>
      <c r="E343" s="61">
        <f t="shared" si="25"/>
        <v>0.25725354434553244</v>
      </c>
      <c r="F343" s="60">
        <f t="shared" si="26"/>
        <v>-0.25725354434553244</v>
      </c>
    </row>
    <row r="344" spans="2:6" x14ac:dyDescent="0.25">
      <c r="B344" s="59">
        <f t="shared" si="27"/>
        <v>16.900000000000123</v>
      </c>
      <c r="C344" s="59">
        <f t="shared" si="23"/>
        <v>0.25</v>
      </c>
      <c r="D344" s="62">
        <f t="shared" si="24"/>
        <v>7.232084155161027E-3</v>
      </c>
      <c r="E344" s="61">
        <f t="shared" si="25"/>
        <v>0.25723208415516102</v>
      </c>
      <c r="F344" s="60">
        <f t="shared" si="26"/>
        <v>-0.25723208415516102</v>
      </c>
    </row>
    <row r="345" spans="2:6" x14ac:dyDescent="0.25">
      <c r="B345" s="59">
        <f t="shared" si="27"/>
        <v>16.950000000000124</v>
      </c>
      <c r="C345" s="59">
        <f t="shared" si="23"/>
        <v>0.25</v>
      </c>
      <c r="D345" s="62">
        <f t="shared" si="24"/>
        <v>7.2107505735823805E-3</v>
      </c>
      <c r="E345" s="61">
        <f t="shared" si="25"/>
        <v>0.25721075057358239</v>
      </c>
      <c r="F345" s="60">
        <f t="shared" si="26"/>
        <v>-0.25721075057358239</v>
      </c>
    </row>
    <row r="346" spans="2:6" x14ac:dyDescent="0.25">
      <c r="B346" s="59">
        <f t="shared" si="27"/>
        <v>17.000000000000124</v>
      </c>
      <c r="C346" s="59">
        <f t="shared" si="23"/>
        <v>0.25</v>
      </c>
      <c r="D346" s="62">
        <f t="shared" si="24"/>
        <v>7.18954248366008E-3</v>
      </c>
      <c r="E346" s="61">
        <f t="shared" si="25"/>
        <v>0.25718954248366011</v>
      </c>
      <c r="F346" s="60">
        <f t="shared" si="26"/>
        <v>-0.25718954248366011</v>
      </c>
    </row>
    <row r="347" spans="2:6" x14ac:dyDescent="0.25">
      <c r="B347" s="59">
        <f t="shared" si="27"/>
        <v>17.050000000000125</v>
      </c>
      <c r="C347" s="59">
        <f t="shared" si="23"/>
        <v>0.25</v>
      </c>
      <c r="D347" s="62">
        <f t="shared" si="24"/>
        <v>7.168458781361956E-3</v>
      </c>
      <c r="E347" s="61">
        <f t="shared" si="25"/>
        <v>0.25716845878136196</v>
      </c>
      <c r="F347" s="60">
        <f t="shared" si="26"/>
        <v>-0.25716845878136196</v>
      </c>
    </row>
    <row r="348" spans="2:6" x14ac:dyDescent="0.25">
      <c r="B348" s="59">
        <f t="shared" si="27"/>
        <v>17.100000000000126</v>
      </c>
      <c r="C348" s="59">
        <f t="shared" si="23"/>
        <v>0.25</v>
      </c>
      <c r="D348" s="62">
        <f t="shared" si="24"/>
        <v>7.1474983755685003E-3</v>
      </c>
      <c r="E348" s="61">
        <f t="shared" si="25"/>
        <v>0.2571474983755685</v>
      </c>
      <c r="F348" s="60">
        <f t="shared" si="26"/>
        <v>-0.2571474983755685</v>
      </c>
    </row>
    <row r="349" spans="2:6" x14ac:dyDescent="0.25">
      <c r="B349" s="59">
        <f t="shared" si="27"/>
        <v>17.150000000000126</v>
      </c>
      <c r="C349" s="59">
        <f t="shared" si="23"/>
        <v>0.25</v>
      </c>
      <c r="D349" s="62">
        <f t="shared" si="24"/>
        <v>7.1266601878846262E-3</v>
      </c>
      <c r="E349" s="61">
        <f t="shared" si="25"/>
        <v>0.2571266601878846</v>
      </c>
      <c r="F349" s="60">
        <f t="shared" si="26"/>
        <v>-0.2571266601878846</v>
      </c>
    </row>
    <row r="350" spans="2:6" x14ac:dyDescent="0.25">
      <c r="B350" s="59">
        <f t="shared" si="27"/>
        <v>17.200000000000127</v>
      </c>
      <c r="C350" s="59">
        <f t="shared" si="23"/>
        <v>0.25</v>
      </c>
      <c r="D350" s="62">
        <f t="shared" si="24"/>
        <v>7.1059431524547294E-3</v>
      </c>
      <c r="E350" s="61">
        <f t="shared" si="25"/>
        <v>0.25710594315245472</v>
      </c>
      <c r="F350" s="60">
        <f t="shared" si="26"/>
        <v>-0.25710594315245472</v>
      </c>
    </row>
    <row r="351" spans="2:6" x14ac:dyDescent="0.25">
      <c r="B351" s="59">
        <f t="shared" si="27"/>
        <v>17.250000000000128</v>
      </c>
      <c r="C351" s="59">
        <f t="shared" si="23"/>
        <v>0.25</v>
      </c>
      <c r="D351" s="62">
        <f t="shared" si="24"/>
        <v>7.0853462157809462E-3</v>
      </c>
      <c r="E351" s="61">
        <f t="shared" si="25"/>
        <v>0.25708534621578094</v>
      </c>
      <c r="F351" s="60">
        <f t="shared" si="26"/>
        <v>-0.25708534621578094</v>
      </c>
    </row>
    <row r="352" spans="2:6" x14ac:dyDescent="0.25">
      <c r="B352" s="59">
        <f t="shared" si="27"/>
        <v>17.300000000000129</v>
      </c>
      <c r="C352" s="59">
        <f t="shared" si="23"/>
        <v>0.25</v>
      </c>
      <c r="D352" s="62">
        <f t="shared" si="24"/>
        <v>7.0648683365445858E-3</v>
      </c>
      <c r="E352" s="61">
        <f t="shared" si="25"/>
        <v>0.25706486833654457</v>
      </c>
      <c r="F352" s="60">
        <f t="shared" si="26"/>
        <v>-0.25706486833654457</v>
      </c>
    </row>
    <row r="353" spans="2:6" x14ac:dyDescent="0.25">
      <c r="B353" s="59">
        <f t="shared" si="27"/>
        <v>17.350000000000129</v>
      </c>
      <c r="C353" s="59">
        <f t="shared" si="23"/>
        <v>0.25</v>
      </c>
      <c r="D353" s="62">
        <f t="shared" si="24"/>
        <v>7.0445084854306251E-3</v>
      </c>
      <c r="E353" s="61">
        <f t="shared" si="25"/>
        <v>0.25704450848543065</v>
      </c>
      <c r="F353" s="60">
        <f t="shared" si="26"/>
        <v>-0.25704450848543065</v>
      </c>
    </row>
    <row r="354" spans="2:6" x14ac:dyDescent="0.25">
      <c r="B354" s="59">
        <f t="shared" si="27"/>
        <v>17.40000000000013</v>
      </c>
      <c r="C354" s="59">
        <f t="shared" si="23"/>
        <v>0.25</v>
      </c>
      <c r="D354" s="62">
        <f t="shared" si="24"/>
        <v>7.0242656449552481E-3</v>
      </c>
      <c r="E354" s="61">
        <f t="shared" si="25"/>
        <v>0.25702426564495523</v>
      </c>
      <c r="F354" s="60">
        <f t="shared" si="26"/>
        <v>-0.25702426564495523</v>
      </c>
    </row>
    <row r="355" spans="2:6" x14ac:dyDescent="0.25">
      <c r="B355" s="59">
        <f t="shared" si="27"/>
        <v>17.450000000000131</v>
      </c>
      <c r="C355" s="59">
        <f t="shared" si="23"/>
        <v>0.25</v>
      </c>
      <c r="D355" s="62">
        <f t="shared" si="24"/>
        <v>7.0041388092963513E-3</v>
      </c>
      <c r="E355" s="61">
        <f t="shared" si="25"/>
        <v>0.25700413880929635</v>
      </c>
      <c r="F355" s="60">
        <f t="shared" si="26"/>
        <v>-0.25700413880929635</v>
      </c>
    </row>
    <row r="356" spans="2:6" x14ac:dyDescent="0.25">
      <c r="B356" s="59">
        <f t="shared" si="27"/>
        <v>17.500000000000131</v>
      </c>
      <c r="C356" s="59">
        <f t="shared" si="23"/>
        <v>0.25</v>
      </c>
      <c r="D356" s="62">
        <f t="shared" si="24"/>
        <v>6.9841269841269321E-3</v>
      </c>
      <c r="E356" s="61">
        <f t="shared" si="25"/>
        <v>0.25698412698412693</v>
      </c>
      <c r="F356" s="60">
        <f t="shared" si="26"/>
        <v>-0.25698412698412693</v>
      </c>
    </row>
    <row r="357" spans="2:6" x14ac:dyDescent="0.25">
      <c r="B357" s="59">
        <f t="shared" si="27"/>
        <v>17.550000000000132</v>
      </c>
      <c r="C357" s="59">
        <f t="shared" si="23"/>
        <v>0.25</v>
      </c>
      <c r="D357" s="62">
        <f t="shared" si="24"/>
        <v>6.9642291864513576E-3</v>
      </c>
      <c r="E357" s="61">
        <f t="shared" si="25"/>
        <v>0.25696422918645134</v>
      </c>
      <c r="F357" s="60">
        <f t="shared" si="26"/>
        <v>-0.25696422918645134</v>
      </c>
    </row>
    <row r="358" spans="2:6" x14ac:dyDescent="0.25">
      <c r="B358" s="59">
        <f t="shared" si="27"/>
        <v>17.600000000000133</v>
      </c>
      <c r="C358" s="59">
        <f t="shared" si="23"/>
        <v>0.25</v>
      </c>
      <c r="D358" s="62">
        <f t="shared" si="24"/>
        <v>6.9444444444443929E-3</v>
      </c>
      <c r="E358" s="61">
        <f t="shared" si="25"/>
        <v>0.25694444444444442</v>
      </c>
      <c r="F358" s="60">
        <f t="shared" si="26"/>
        <v>-0.25694444444444442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EAC1C-08A0-4726-9897-B584E2FABA81}">
  <sheetPr codeName="Sheet11">
    <tabColor rgb="FFFFFF00"/>
  </sheetPr>
  <dimension ref="A1:BV54"/>
  <sheetViews>
    <sheetView topLeftCell="A3" zoomScale="85" zoomScaleNormal="85" workbookViewId="0">
      <selection activeCell="AA14" sqref="AA14"/>
    </sheetView>
  </sheetViews>
  <sheetFormatPr defaultColWidth="12.7109375" defaultRowHeight="15" x14ac:dyDescent="0.25"/>
  <cols>
    <col min="1" max="1" width="20.7109375" style="67" customWidth="1"/>
    <col min="2" max="2" width="12.7109375" style="67" customWidth="1"/>
    <col min="3" max="3" width="19.28515625" style="67" customWidth="1"/>
    <col min="4" max="15" width="12.7109375" style="67" customWidth="1"/>
    <col min="16" max="16" width="12.7109375" style="67"/>
    <col min="17" max="18" width="19.140625" style="67" bestFit="1" customWidth="1"/>
    <col min="19" max="63" width="12.7109375" style="67"/>
    <col min="64" max="64" width="19.7109375" style="67" bestFit="1" customWidth="1"/>
    <col min="65" max="72" width="12.7109375" style="67"/>
    <col min="73" max="73" width="13.85546875" style="67" bestFit="1" customWidth="1"/>
    <col min="74" max="16384" width="12.7109375" style="67"/>
  </cols>
  <sheetData>
    <row r="1" spans="1:74" ht="23.25" x14ac:dyDescent="0.35">
      <c r="A1" s="139" t="s">
        <v>184</v>
      </c>
      <c r="BK1" s="137" t="s">
        <v>183</v>
      </c>
      <c r="BL1" s="137">
        <f>'[1](TBL) Coriolis N2 10 bar'!BL1</f>
        <v>8.20304581916039E-2</v>
      </c>
    </row>
    <row r="2" spans="1:74" ht="21" x14ac:dyDescent="0.35">
      <c r="BK2" s="137" t="s">
        <v>182</v>
      </c>
      <c r="BL2" s="137">
        <f>'[1](TBL) Coriolis N2 10 bar'!BL2</f>
        <v>-1.2922266296989613E-2</v>
      </c>
    </row>
    <row r="3" spans="1:74" ht="21" x14ac:dyDescent="0.35">
      <c r="A3" s="78" t="s">
        <v>181</v>
      </c>
      <c r="B3" s="77" t="s">
        <v>180</v>
      </c>
      <c r="BD3" s="138">
        <f>MAX(BD13:BD46)</f>
        <v>4239750.0944300871</v>
      </c>
      <c r="BK3" s="137" t="s">
        <v>179</v>
      </c>
      <c r="BL3" s="137">
        <f>'[1](TBL) Coriolis N2 10 bar'!BL3</f>
        <v>-0.11908411135793115</v>
      </c>
    </row>
    <row r="4" spans="1:74" ht="21" x14ac:dyDescent="0.35">
      <c r="A4" s="78" t="s">
        <v>54</v>
      </c>
      <c r="B4" s="77" t="s">
        <v>178</v>
      </c>
      <c r="BD4" s="138">
        <f>MIN(BD13:BD39)</f>
        <v>108050.23495724976</v>
      </c>
      <c r="BK4" s="137" t="s">
        <v>177</v>
      </c>
      <c r="BL4" s="137">
        <f>'[1](TBL) Coriolis N2 10 bar'!BL4</f>
        <v>-6.7147345489652774E-2</v>
      </c>
    </row>
    <row r="5" spans="1:74" ht="21" x14ac:dyDescent="0.35">
      <c r="A5" s="78" t="s">
        <v>176</v>
      </c>
      <c r="B5" s="77" t="s">
        <v>173</v>
      </c>
      <c r="AC5" s="67">
        <f>'(TBL) Coriolis N2 60 bar'!AC5</f>
        <v>0</v>
      </c>
      <c r="BK5" s="137" t="s">
        <v>175</v>
      </c>
      <c r="BL5" s="137">
        <f>'[1](TBL) Coriolis N2 10 bar'!BL5</f>
        <v>0.12150091665862671</v>
      </c>
    </row>
    <row r="6" spans="1:74" ht="21" x14ac:dyDescent="0.35">
      <c r="A6" s="78" t="s">
        <v>174</v>
      </c>
      <c r="B6" s="77" t="s">
        <v>173</v>
      </c>
      <c r="BK6" s="137" t="s">
        <v>172</v>
      </c>
      <c r="BL6" s="137">
        <f>'[1](TBL) Coriolis N2 10 bar'!BL6</f>
        <v>-1.1760973620189581E-4</v>
      </c>
    </row>
    <row r="7" spans="1:74" ht="21" x14ac:dyDescent="0.35">
      <c r="A7" s="78"/>
      <c r="B7" s="77"/>
      <c r="AQ7" s="79">
        <f>AVERAGE(AQ13:AQ86)</f>
        <v>0.21677136016068133</v>
      </c>
      <c r="AU7" s="76">
        <f>MIN(AU13:AU79)</f>
        <v>0.25857979588459346</v>
      </c>
      <c r="BK7" s="137" t="s">
        <v>171</v>
      </c>
      <c r="BL7" s="137">
        <f>'[1](TBL) Coriolis N2 10 bar'!BL7</f>
        <v>-1.6600711533985849E-2</v>
      </c>
    </row>
    <row r="8" spans="1:74" ht="21" x14ac:dyDescent="0.35">
      <c r="A8" s="78"/>
      <c r="B8" s="77"/>
      <c r="AU8" s="76">
        <f>MAX(AU13:AU205)</f>
        <v>0.44188799548950192</v>
      </c>
      <c r="BK8" s="137" t="s">
        <v>170</v>
      </c>
      <c r="BL8" s="137">
        <f>'[1](TBL) Coriolis N2 10 bar'!BL8</f>
        <v>-4.2815480982609365E-2</v>
      </c>
    </row>
    <row r="9" spans="1:74" x14ac:dyDescent="0.25">
      <c r="A9" s="78"/>
      <c r="B9" s="77"/>
      <c r="AM9" s="201" t="s">
        <v>169</v>
      </c>
      <c r="AN9" s="202"/>
      <c r="AO9" s="202"/>
      <c r="AP9" s="202"/>
      <c r="AQ9" s="202"/>
      <c r="AR9" s="202"/>
      <c r="AS9" s="202"/>
      <c r="AT9" s="202"/>
      <c r="AU9" s="203"/>
    </row>
    <row r="10" spans="1:74" x14ac:dyDescent="0.25">
      <c r="C10" s="82"/>
      <c r="D10" s="79"/>
      <c r="E10" s="79"/>
      <c r="F10" s="76"/>
      <c r="G10" s="76"/>
      <c r="H10" s="79"/>
      <c r="I10" s="79"/>
      <c r="J10" s="81"/>
      <c r="K10" s="80"/>
      <c r="L10" s="79"/>
      <c r="M10" s="76"/>
      <c r="N10" s="79"/>
      <c r="O10" s="76"/>
      <c r="Q10" s="205" t="s">
        <v>168</v>
      </c>
      <c r="R10" s="206"/>
      <c r="S10" s="206"/>
      <c r="T10" s="206"/>
      <c r="U10" s="207"/>
      <c r="AA10" s="136"/>
      <c r="AB10" s="136"/>
      <c r="AC10" s="136"/>
      <c r="AE10" s="205" t="s">
        <v>167</v>
      </c>
      <c r="AF10" s="207"/>
      <c r="AP10" s="205" t="s">
        <v>167</v>
      </c>
      <c r="AQ10" s="207"/>
      <c r="AW10" s="201" t="s">
        <v>166</v>
      </c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3"/>
    </row>
    <row r="11" spans="1:74" ht="45" x14ac:dyDescent="0.25">
      <c r="B11" s="135" t="s">
        <v>1</v>
      </c>
      <c r="C11" s="134" t="s">
        <v>0</v>
      </c>
      <c r="D11" s="122" t="s">
        <v>165</v>
      </c>
      <c r="E11" s="122" t="s">
        <v>164</v>
      </c>
      <c r="F11" s="131" t="s">
        <v>154</v>
      </c>
      <c r="G11" s="131" t="s">
        <v>153</v>
      </c>
      <c r="H11" s="122" t="s">
        <v>137</v>
      </c>
      <c r="I11" s="122" t="s">
        <v>152</v>
      </c>
      <c r="J11" s="130" t="s">
        <v>151</v>
      </c>
      <c r="K11" s="129" t="s">
        <v>150</v>
      </c>
      <c r="L11" s="122" t="s">
        <v>149</v>
      </c>
      <c r="M11" s="131" t="s">
        <v>139</v>
      </c>
      <c r="N11" s="122" t="s">
        <v>160</v>
      </c>
      <c r="O11" s="131" t="s">
        <v>159</v>
      </c>
      <c r="Q11" s="132" t="s">
        <v>154</v>
      </c>
      <c r="R11" s="132" t="s">
        <v>163</v>
      </c>
      <c r="S11" s="133" t="s">
        <v>162</v>
      </c>
      <c r="T11" s="133" t="s">
        <v>93</v>
      </c>
      <c r="U11" s="133" t="s">
        <v>161</v>
      </c>
      <c r="V11" s="122" t="s">
        <v>94</v>
      </c>
      <c r="W11" s="122" t="s">
        <v>95</v>
      </c>
      <c r="X11" s="122" t="s">
        <v>96</v>
      </c>
      <c r="Y11" s="122" t="s">
        <v>97</v>
      </c>
      <c r="Z11" s="122" t="s">
        <v>98</v>
      </c>
      <c r="AA11" s="133" t="s">
        <v>99</v>
      </c>
      <c r="AB11" s="133" t="s">
        <v>160</v>
      </c>
      <c r="AC11" s="132" t="s">
        <v>159</v>
      </c>
      <c r="AD11" s="122" t="s">
        <v>137</v>
      </c>
      <c r="AE11" s="133" t="s">
        <v>137</v>
      </c>
      <c r="AF11" s="132" t="s">
        <v>159</v>
      </c>
      <c r="AG11" s="132" t="s">
        <v>158</v>
      </c>
      <c r="AH11" s="132" t="s">
        <v>157</v>
      </c>
      <c r="AI11" s="132" t="s">
        <v>156</v>
      </c>
      <c r="AJ11" s="132" t="s">
        <v>155</v>
      </c>
      <c r="AM11" s="133" t="s">
        <v>160</v>
      </c>
      <c r="AN11" s="131" t="s">
        <v>159</v>
      </c>
      <c r="AO11" s="122" t="s">
        <v>137</v>
      </c>
      <c r="AP11" s="133" t="s">
        <v>137</v>
      </c>
      <c r="AQ11" s="132" t="s">
        <v>159</v>
      </c>
      <c r="AR11" s="132" t="s">
        <v>158</v>
      </c>
      <c r="AS11" s="132" t="s">
        <v>157</v>
      </c>
      <c r="AT11" s="132" t="s">
        <v>156</v>
      </c>
      <c r="AU11" s="132" t="s">
        <v>155</v>
      </c>
      <c r="AW11" s="131" t="s">
        <v>154</v>
      </c>
      <c r="AX11" s="131" t="s">
        <v>153</v>
      </c>
      <c r="AY11" s="122" t="s">
        <v>146</v>
      </c>
      <c r="AZ11" s="122" t="s">
        <v>152</v>
      </c>
      <c r="BA11" s="130" t="s">
        <v>151</v>
      </c>
      <c r="BB11" s="129" t="s">
        <v>150</v>
      </c>
      <c r="BC11" s="122" t="s">
        <v>149</v>
      </c>
      <c r="BD11" s="124" t="s">
        <v>145</v>
      </c>
      <c r="BE11" s="128" t="s">
        <v>148</v>
      </c>
      <c r="BF11" s="127" t="s">
        <v>147</v>
      </c>
      <c r="BG11" s="126" t="s">
        <v>144</v>
      </c>
      <c r="BH11" s="125" t="s">
        <v>143</v>
      </c>
      <c r="BI11" s="124" t="s">
        <v>142</v>
      </c>
      <c r="BJ11" s="124" t="s">
        <v>141</v>
      </c>
      <c r="BK11" s="124" t="s">
        <v>140</v>
      </c>
      <c r="BL11" s="123" t="s">
        <v>139</v>
      </c>
      <c r="BM11" s="124" t="s">
        <v>146</v>
      </c>
      <c r="BN11" s="124" t="s">
        <v>145</v>
      </c>
      <c r="BO11" s="126" t="s">
        <v>144</v>
      </c>
      <c r="BP11" s="125" t="s">
        <v>143</v>
      </c>
      <c r="BQ11" s="124" t="s">
        <v>142</v>
      </c>
      <c r="BR11" s="124" t="s">
        <v>141</v>
      </c>
      <c r="BS11" s="124" t="s">
        <v>140</v>
      </c>
      <c r="BT11" s="123" t="s">
        <v>139</v>
      </c>
      <c r="BU11" s="122" t="s">
        <v>138</v>
      </c>
      <c r="BV11" s="122" t="s">
        <v>137</v>
      </c>
    </row>
    <row r="12" spans="1:74" ht="17.25" x14ac:dyDescent="0.25">
      <c r="B12" s="121" t="s">
        <v>7</v>
      </c>
      <c r="C12" s="120" t="s">
        <v>7</v>
      </c>
      <c r="D12" s="109" t="s">
        <v>123</v>
      </c>
      <c r="E12" s="109" t="s">
        <v>8</v>
      </c>
      <c r="F12" s="118" t="s">
        <v>9</v>
      </c>
      <c r="G12" s="118" t="s">
        <v>122</v>
      </c>
      <c r="H12" s="109" t="s">
        <v>38</v>
      </c>
      <c r="I12" s="109" t="s">
        <v>11</v>
      </c>
      <c r="J12" s="117" t="s">
        <v>121</v>
      </c>
      <c r="K12" s="116" t="s">
        <v>120</v>
      </c>
      <c r="L12" s="109" t="s">
        <v>101</v>
      </c>
      <c r="M12" s="118" t="s">
        <v>119</v>
      </c>
      <c r="N12" s="109" t="s">
        <v>38</v>
      </c>
      <c r="O12" s="118" t="s">
        <v>10</v>
      </c>
      <c r="Q12" s="118" t="s">
        <v>9</v>
      </c>
      <c r="R12" s="118" t="s">
        <v>136</v>
      </c>
      <c r="S12" s="109" t="s">
        <v>11</v>
      </c>
      <c r="T12" s="109" t="s">
        <v>100</v>
      </c>
      <c r="U12" s="109" t="s">
        <v>7</v>
      </c>
      <c r="V12" s="109" t="s">
        <v>101</v>
      </c>
      <c r="W12" s="109" t="s">
        <v>102</v>
      </c>
      <c r="X12" s="109" t="s">
        <v>102</v>
      </c>
      <c r="Y12" s="109" t="s">
        <v>7</v>
      </c>
      <c r="Z12" s="109" t="s">
        <v>7</v>
      </c>
      <c r="AA12" s="109" t="s">
        <v>7</v>
      </c>
      <c r="AB12" s="109" t="s">
        <v>38</v>
      </c>
      <c r="AC12" s="118" t="s">
        <v>10</v>
      </c>
      <c r="AD12" s="109" t="s">
        <v>38</v>
      </c>
      <c r="AE12" s="108" t="s">
        <v>38</v>
      </c>
      <c r="AF12" s="119" t="s">
        <v>10</v>
      </c>
      <c r="AG12" s="119" t="s">
        <v>10</v>
      </c>
      <c r="AH12" s="119" t="s">
        <v>10</v>
      </c>
      <c r="AI12" s="119" t="s">
        <v>10</v>
      </c>
      <c r="AJ12" s="119" t="s">
        <v>10</v>
      </c>
      <c r="AM12" s="109" t="s">
        <v>38</v>
      </c>
      <c r="AN12" s="118" t="s">
        <v>10</v>
      </c>
      <c r="AO12" s="109" t="s">
        <v>38</v>
      </c>
      <c r="AP12" s="108" t="s">
        <v>38</v>
      </c>
      <c r="AQ12" s="119" t="s">
        <v>10</v>
      </c>
      <c r="AR12" s="119" t="s">
        <v>10</v>
      </c>
      <c r="AS12" s="119" t="s">
        <v>10</v>
      </c>
      <c r="AT12" s="119" t="s">
        <v>10</v>
      </c>
      <c r="AU12" s="119" t="s">
        <v>10</v>
      </c>
      <c r="AW12" s="118" t="s">
        <v>9</v>
      </c>
      <c r="AX12" s="118" t="s">
        <v>122</v>
      </c>
      <c r="AY12" s="109" t="s">
        <v>133</v>
      </c>
      <c r="AZ12" s="109" t="s">
        <v>11</v>
      </c>
      <c r="BA12" s="117" t="s">
        <v>121</v>
      </c>
      <c r="BB12" s="116" t="s">
        <v>120</v>
      </c>
      <c r="BC12" s="109" t="s">
        <v>101</v>
      </c>
      <c r="BD12" s="114" t="s">
        <v>7</v>
      </c>
      <c r="BE12" s="115" t="s">
        <v>7</v>
      </c>
      <c r="BF12" s="113" t="s">
        <v>135</v>
      </c>
      <c r="BG12" s="113" t="s">
        <v>7</v>
      </c>
      <c r="BH12" s="113" t="s">
        <v>10</v>
      </c>
      <c r="BI12" s="112" t="s">
        <v>10</v>
      </c>
      <c r="BJ12" s="111" t="s">
        <v>10</v>
      </c>
      <c r="BK12" s="111" t="s">
        <v>10</v>
      </c>
      <c r="BL12" s="110" t="s">
        <v>134</v>
      </c>
      <c r="BM12" s="114" t="s">
        <v>133</v>
      </c>
      <c r="BN12" s="114" t="s">
        <v>7</v>
      </c>
      <c r="BO12" s="113" t="s">
        <v>7</v>
      </c>
      <c r="BP12" s="113" t="s">
        <v>10</v>
      </c>
      <c r="BQ12" s="112" t="s">
        <v>10</v>
      </c>
      <c r="BR12" s="111" t="s">
        <v>10</v>
      </c>
      <c r="BS12" s="111" t="s">
        <v>10</v>
      </c>
      <c r="BT12" s="110" t="s">
        <v>134</v>
      </c>
      <c r="BU12" s="109" t="s">
        <v>133</v>
      </c>
      <c r="BV12" s="108" t="s">
        <v>38</v>
      </c>
    </row>
    <row r="13" spans="1:74" s="100" customFormat="1" x14ac:dyDescent="0.25">
      <c r="B13" s="107">
        <v>2</v>
      </c>
      <c r="C13" s="106">
        <v>45238.315335648098</v>
      </c>
      <c r="D13" s="103">
        <v>181.74368000000001</v>
      </c>
      <c r="E13" s="103">
        <v>0.96856070718232201</v>
      </c>
      <c r="F13" s="102">
        <v>20.117539973662002</v>
      </c>
      <c r="G13" s="102">
        <v>35.753733207781202</v>
      </c>
      <c r="H13" s="103">
        <f t="shared" ref="H13:H40" si="0">BV13</f>
        <v>9.2205708982428209</v>
      </c>
      <c r="I13" s="103">
        <v>42.425672306499997</v>
      </c>
      <c r="J13" s="105">
        <v>1.81848242565217E-5</v>
      </c>
      <c r="K13" s="104">
        <v>177094</v>
      </c>
      <c r="L13" s="103">
        <v>974.41627681358705</v>
      </c>
      <c r="M13" s="102">
        <v>105.69580332321701</v>
      </c>
      <c r="N13" s="103">
        <v>9.7441627681358707</v>
      </c>
      <c r="O13" s="102">
        <f t="shared" ref="O13:O40" si="1">(N13-H13)/H13*100</f>
        <v>5.6785189948794983</v>
      </c>
      <c r="Q13" s="97">
        <f t="shared" ref="Q13:Q40" si="2">F13</f>
        <v>20.117539973662002</v>
      </c>
      <c r="R13" s="97">
        <f t="shared" ref="R13:R40" si="3">G13+E13</f>
        <v>36.722293914963522</v>
      </c>
      <c r="S13" s="67">
        <v>42.426657676620998</v>
      </c>
      <c r="T13" s="67">
        <v>355.82079202253499</v>
      </c>
      <c r="U13" s="67">
        <v>1.462755237211</v>
      </c>
      <c r="V13" s="67">
        <v>93.52</v>
      </c>
      <c r="W13" s="67">
        <v>44.7</v>
      </c>
      <c r="X13" s="67">
        <f t="shared" ref="X13:X40" si="4">W13/2/1000</f>
        <v>2.2350000000000002E-2</v>
      </c>
      <c r="Y13" s="67">
        <v>1</v>
      </c>
      <c r="Z13" s="67">
        <f t="shared" ref="Z13:Z40" si="5">1/(1+Y13*0.5*(2*PI()*V13/T13*X13)^2)</f>
        <v>0.99931933183797284</v>
      </c>
      <c r="AA13" s="96">
        <f t="shared" ref="AA13:AA40" si="6">1/(1-0.0077/100*((G13)-2.06843))</f>
        <v>1.0026005134765406</v>
      </c>
      <c r="AB13" s="100">
        <f t="shared" ref="AB13:AB40" si="7">N13*AA13*Z13</f>
        <v>9.7628528053569372</v>
      </c>
      <c r="AC13" s="100">
        <f t="shared" ref="AC13:AC40" si="8">(AB13-H13)/H13*100-$AC$5</f>
        <v>5.8812183442725852</v>
      </c>
      <c r="AD13" s="101">
        <f t="shared" ref="AD13:AD40" si="9">H13</f>
        <v>9.2205708982428209</v>
      </c>
      <c r="AE13" s="204"/>
      <c r="AF13" s="204"/>
      <c r="AG13" s="200">
        <f>STDEV(AC13:AC15)</f>
        <v>1.798399858473344</v>
      </c>
      <c r="AH13" s="200"/>
      <c r="AI13" s="200"/>
      <c r="AJ13" s="200"/>
      <c r="AK13" s="101"/>
      <c r="AL13" s="101"/>
      <c r="AM13" s="101">
        <f t="shared" ref="AM13:AM40" si="10">N13*AA13</f>
        <v>9.7695025947320122</v>
      </c>
      <c r="AN13" s="101">
        <f t="shared" ref="AN13:AN40" si="11">(AM13-H13)/H13*100</f>
        <v>5.953337407706524</v>
      </c>
      <c r="AO13" s="101">
        <f t="shared" ref="AO13:AO40" si="12">H13</f>
        <v>9.2205708982428209</v>
      </c>
      <c r="AP13" s="204"/>
      <c r="AQ13" s="204"/>
      <c r="AR13" s="200">
        <f>STDEV(AN13:AN15)</f>
        <v>1.7996257523774823</v>
      </c>
      <c r="AS13" s="200"/>
      <c r="AT13" s="200"/>
      <c r="AU13" s="200"/>
      <c r="AW13" s="85">
        <v>20.180763862985</v>
      </c>
      <c r="AX13" s="85">
        <v>34.664071922708402</v>
      </c>
      <c r="AY13" s="92">
        <v>806.44535597776303</v>
      </c>
      <c r="AZ13" s="92">
        <v>41.1542168322012</v>
      </c>
      <c r="BA13" s="94">
        <v>1.8166517397591098E-5</v>
      </c>
      <c r="BB13" s="93">
        <v>236085</v>
      </c>
      <c r="BC13" s="92">
        <v>1298.9997781490899</v>
      </c>
      <c r="BD13" s="91">
        <f t="shared" ref="BD13:BD40" si="13">4*(BF13/3600*AZ13)/(BA13*PI()*0.1524)</f>
        <v>4239750.0944300871</v>
      </c>
      <c r="BE13" s="90">
        <v>5798.78</v>
      </c>
      <c r="BF13" s="89">
        <f t="shared" ref="BF13:BF40" si="14">BC13/BE13*3600</f>
        <v>806.44535597776144</v>
      </c>
      <c r="BG13" s="83">
        <f t="shared" ref="BG13:BG40" si="15">LOG(BD13/10^6)</f>
        <v>0.62734025852466857</v>
      </c>
      <c r="BH13" s="86">
        <f t="shared" ref="BH13:BH40" si="16">$BL$1+$BL$2*BG13+$BL$3*BG13^2+$BL$4*BG13^3+$BL$5*BG13^4</f>
        <v>2.9298132707874253E-2</v>
      </c>
      <c r="BI13" s="86">
        <f t="shared" ref="BI13:BI40" si="17">$BL$6/(AZ13*(BF13/3600)^2)+$BL$7/(AZ13*BF13/3600)</f>
        <v>-1.8576427283605609E-3</v>
      </c>
      <c r="BJ13" s="87">
        <f t="shared" ref="BJ13:BJ40" si="18">$BL$8*AZ13*BF13/3600/(AX13+E13)</f>
        <v>-1.1077447561807455E-2</v>
      </c>
      <c r="BK13" s="86">
        <f t="shared" ref="BK13:BK40" si="19">BH13+BI13+BJ13</f>
        <v>1.6363042417706235E-2</v>
      </c>
      <c r="BL13" s="88">
        <f t="shared" ref="BL13:BL40" si="20">BE13-BE13/100*BK13</f>
        <v>5797.8311431688899</v>
      </c>
      <c r="BM13" s="85">
        <f t="shared" ref="BM13:BM40" si="21">BC13/BL13*3600</f>
        <v>806.57733656947607</v>
      </c>
      <c r="BN13" s="85">
        <f t="shared" ref="BN13:BN40" si="22">4*(BM13/3600*AZ13)/(BA13*PI()*0.1524)</f>
        <v>4240443.9600739731</v>
      </c>
      <c r="BO13" s="83">
        <f t="shared" ref="BO13:BO40" si="23">LOG(BN13/10^6)</f>
        <v>0.62741132812969358</v>
      </c>
      <c r="BP13" s="86">
        <f t="shared" ref="BP13:BP40" si="24">$BL$1+$BL$2*BO13+$BL$3*BO13^2+$BL$4*BO13^3+$BL$5*BO13^4</f>
        <v>2.9289489263780968E-2</v>
      </c>
      <c r="BQ13" s="86">
        <f t="shared" ref="BQ13:BQ40" si="25">$BL$6/(AZ13*(BM13/3600)^2)+$BL$7/(AZ13*BM13/3600)</f>
        <v>-1.8573294444728598E-3</v>
      </c>
      <c r="BR13" s="87">
        <f t="shared" ref="BR13:BR40" si="26">$BL$8*AZ13*BM13/3600/(AX13+E13)</f>
        <v>-1.1079260465897059E-2</v>
      </c>
      <c r="BS13" s="86">
        <f t="shared" ref="BS13:BS40" si="27">BP13+BQ13+BR13</f>
        <v>1.6352899353411048E-2</v>
      </c>
      <c r="BT13" s="85">
        <f t="shared" ref="BT13:BT40" si="28">BE13-BE13/100*BS13</f>
        <v>5797.8317313428743</v>
      </c>
      <c r="BU13" s="84">
        <f t="shared" ref="BU13:BU40" si="29">BC13/BT13*3600</f>
        <v>806.57725474443737</v>
      </c>
      <c r="BV13" s="83">
        <f t="shared" ref="BV13:BV40" si="30">BU13/3600*AZ13</f>
        <v>9.2205708982428209</v>
      </c>
    </row>
    <row r="14" spans="1:74" s="100" customFormat="1" x14ac:dyDescent="0.25">
      <c r="B14" s="107">
        <v>3</v>
      </c>
      <c r="C14" s="106">
        <v>45238.317673611098</v>
      </c>
      <c r="D14" s="103">
        <v>184.49969999999999</v>
      </c>
      <c r="E14" s="103">
        <v>0.96851863934426297</v>
      </c>
      <c r="F14" s="102">
        <v>20.079942092572001</v>
      </c>
      <c r="G14" s="102">
        <v>35.760254218754397</v>
      </c>
      <c r="H14" s="103">
        <f t="shared" si="0"/>
        <v>9.2208352678999166</v>
      </c>
      <c r="I14" s="103">
        <v>42.4391104884889</v>
      </c>
      <c r="J14" s="105">
        <v>1.8183303337704298E-5</v>
      </c>
      <c r="K14" s="104">
        <v>182952</v>
      </c>
      <c r="L14" s="103">
        <v>991.61136847376997</v>
      </c>
      <c r="M14" s="102">
        <v>107.557893927492</v>
      </c>
      <c r="N14" s="103">
        <v>9.9161136847377005</v>
      </c>
      <c r="O14" s="102">
        <f t="shared" si="1"/>
        <v>7.5402975613090684</v>
      </c>
      <c r="Q14" s="97">
        <f t="shared" si="2"/>
        <v>20.079942092572001</v>
      </c>
      <c r="R14" s="97">
        <f t="shared" si="3"/>
        <v>36.728772858098658</v>
      </c>
      <c r="S14" s="67">
        <v>42.440096908431002</v>
      </c>
      <c r="T14" s="67">
        <v>355.79822140524999</v>
      </c>
      <c r="U14" s="67">
        <v>1.462774881224</v>
      </c>
      <c r="V14" s="67">
        <v>93.52</v>
      </c>
      <c r="W14" s="67">
        <v>44.7</v>
      </c>
      <c r="X14" s="67">
        <f t="shared" si="4"/>
        <v>2.2350000000000002E-2</v>
      </c>
      <c r="Y14" s="67">
        <v>1</v>
      </c>
      <c r="Z14" s="67">
        <f t="shared" si="5"/>
        <v>0.9993192455355232</v>
      </c>
      <c r="AA14" s="96">
        <f t="shared" si="6"/>
        <v>1.0026010182095637</v>
      </c>
      <c r="AB14" s="100">
        <f t="shared" si="7"/>
        <v>9.9351376803247824</v>
      </c>
      <c r="AC14" s="100">
        <f t="shared" si="8"/>
        <v>7.7466128791123188</v>
      </c>
      <c r="AD14" s="101">
        <f t="shared" si="9"/>
        <v>9.2208352678999166</v>
      </c>
      <c r="AE14" s="204"/>
      <c r="AF14" s="204"/>
      <c r="AG14" s="200"/>
      <c r="AH14" s="200"/>
      <c r="AI14" s="200"/>
      <c r="AJ14" s="200"/>
      <c r="AK14" s="101"/>
      <c r="AL14" s="101"/>
      <c r="AM14" s="101">
        <f t="shared" si="10"/>
        <v>9.9419056769998075</v>
      </c>
      <c r="AN14" s="101">
        <f t="shared" si="11"/>
        <v>7.8200118335279374</v>
      </c>
      <c r="AO14" s="101">
        <f t="shared" si="12"/>
        <v>9.2208352678999166</v>
      </c>
      <c r="AP14" s="204"/>
      <c r="AQ14" s="204"/>
      <c r="AR14" s="200"/>
      <c r="AS14" s="200"/>
      <c r="AT14" s="200"/>
      <c r="AU14" s="200"/>
      <c r="AW14" s="85">
        <v>20.231894285241001</v>
      </c>
      <c r="AX14" s="85">
        <v>34.670253727917398</v>
      </c>
      <c r="AY14" s="92">
        <v>806.48213629362101</v>
      </c>
      <c r="AZ14" s="92">
        <v>41.153516984663398</v>
      </c>
      <c r="BA14" s="94">
        <v>1.8168880520246701E-5</v>
      </c>
      <c r="BB14" s="93">
        <v>239676</v>
      </c>
      <c r="BC14" s="92">
        <v>1299.0590228602</v>
      </c>
      <c r="BD14" s="91">
        <f t="shared" si="13"/>
        <v>4239319.9025302967</v>
      </c>
      <c r="BE14" s="90">
        <v>5798.78</v>
      </c>
      <c r="BF14" s="89">
        <f t="shared" si="14"/>
        <v>806.48213629362044</v>
      </c>
      <c r="BG14" s="83">
        <f t="shared" si="15"/>
        <v>0.62729619001987602</v>
      </c>
      <c r="BH14" s="86">
        <f t="shared" si="16"/>
        <v>2.9303492504172572E-2</v>
      </c>
      <c r="BI14" s="86">
        <f t="shared" si="17"/>
        <v>-1.8575870010517387E-3</v>
      </c>
      <c r="BJ14" s="87">
        <f t="shared" si="18"/>
        <v>-1.1075855952485083E-2</v>
      </c>
      <c r="BK14" s="86">
        <f t="shared" si="19"/>
        <v>1.637004955063575E-2</v>
      </c>
      <c r="BL14" s="88">
        <f t="shared" si="20"/>
        <v>5797.8307368406677</v>
      </c>
      <c r="BM14" s="85">
        <f t="shared" si="21"/>
        <v>806.61417943447634</v>
      </c>
      <c r="BN14" s="85">
        <f t="shared" si="22"/>
        <v>4240013.9949222198</v>
      </c>
      <c r="BO14" s="83">
        <f t="shared" si="23"/>
        <v>0.62736729006147418</v>
      </c>
      <c r="BP14" s="86">
        <f t="shared" si="24"/>
        <v>2.929484509869747E-2</v>
      </c>
      <c r="BQ14" s="86">
        <f t="shared" si="25"/>
        <v>-1.8572735928216336E-3</v>
      </c>
      <c r="BR14" s="87">
        <f t="shared" si="26"/>
        <v>-1.1077669372450411E-2</v>
      </c>
      <c r="BS14" s="86">
        <f t="shared" si="27"/>
        <v>1.6359902133425426E-2</v>
      </c>
      <c r="BT14" s="85">
        <f t="shared" si="28"/>
        <v>5797.8313252670669</v>
      </c>
      <c r="BU14" s="84">
        <f t="shared" si="29"/>
        <v>806.61409757057743</v>
      </c>
      <c r="BV14" s="83">
        <f t="shared" si="30"/>
        <v>9.2208352678999166</v>
      </c>
    </row>
    <row r="15" spans="1:74" s="100" customFormat="1" x14ac:dyDescent="0.25">
      <c r="B15" s="107">
        <v>4</v>
      </c>
      <c r="C15" s="106">
        <v>45238.3200462963</v>
      </c>
      <c r="D15" s="103">
        <v>181.77722</v>
      </c>
      <c r="E15" s="103">
        <v>0.96849469444444403</v>
      </c>
      <c r="F15" s="102">
        <v>20.082922749683998</v>
      </c>
      <c r="G15" s="102">
        <v>35.766935348491501</v>
      </c>
      <c r="H15" s="103">
        <f t="shared" si="0"/>
        <v>9.2221854445517728</v>
      </c>
      <c r="I15" s="103">
        <v>42.4463495035764</v>
      </c>
      <c r="J15" s="105">
        <v>1.8183563345507699E-5</v>
      </c>
      <c r="K15" s="104">
        <v>174262</v>
      </c>
      <c r="L15" s="103">
        <v>958.656975830085</v>
      </c>
      <c r="M15" s="102">
        <v>103.968177403749</v>
      </c>
      <c r="N15" s="103">
        <v>9.5865697583008505</v>
      </c>
      <c r="O15" s="102">
        <f t="shared" si="1"/>
        <v>3.9511709663607597</v>
      </c>
      <c r="Q15" s="97">
        <f t="shared" si="2"/>
        <v>20.082922749683998</v>
      </c>
      <c r="R15" s="97">
        <f t="shared" si="3"/>
        <v>36.735430042935945</v>
      </c>
      <c r="S15" s="67">
        <v>42.447336182847003</v>
      </c>
      <c r="T15" s="67">
        <v>355.80165941846298</v>
      </c>
      <c r="U15" s="67">
        <v>1.462787535938</v>
      </c>
      <c r="V15" s="67">
        <v>93.52</v>
      </c>
      <c r="W15" s="67">
        <v>44.7</v>
      </c>
      <c r="X15" s="67">
        <f t="shared" si="4"/>
        <v>2.2350000000000002E-2</v>
      </c>
      <c r="Y15" s="67">
        <v>1</v>
      </c>
      <c r="Z15" s="67">
        <f t="shared" si="5"/>
        <v>0.9993192586823888</v>
      </c>
      <c r="AA15" s="96">
        <f t="shared" si="6"/>
        <v>1.0026015353364726</v>
      </c>
      <c r="AB15" s="100">
        <f t="shared" si="7"/>
        <v>9.6049666066016908</v>
      </c>
      <c r="AC15" s="100">
        <f t="shared" si="8"/>
        <v>4.1506556591318073</v>
      </c>
      <c r="AD15" s="101">
        <f t="shared" si="9"/>
        <v>9.2221854445517728</v>
      </c>
      <c r="AE15" s="204"/>
      <c r="AF15" s="204"/>
      <c r="AG15" s="200"/>
      <c r="AH15" s="200"/>
      <c r="AI15" s="200"/>
      <c r="AJ15" s="200"/>
      <c r="AK15" s="101"/>
      <c r="AL15" s="101"/>
      <c r="AM15" s="101">
        <f t="shared" si="10"/>
        <v>9.6115095582826289</v>
      </c>
      <c r="AN15" s="101">
        <f t="shared" si="11"/>
        <v>4.2216036108974428</v>
      </c>
      <c r="AO15" s="101">
        <f t="shared" si="12"/>
        <v>9.2221854445517728</v>
      </c>
      <c r="AP15" s="204"/>
      <c r="AQ15" s="204"/>
      <c r="AR15" s="200"/>
      <c r="AS15" s="200"/>
      <c r="AT15" s="200"/>
      <c r="AU15" s="200"/>
      <c r="AW15" s="85">
        <v>20.263976252123999</v>
      </c>
      <c r="AX15" s="85">
        <v>34.676906624413803</v>
      </c>
      <c r="AY15" s="92">
        <v>806.54587297538399</v>
      </c>
      <c r="AZ15" s="92">
        <v>41.156291408194598</v>
      </c>
      <c r="BA15" s="94">
        <v>1.8170416609420099E-5</v>
      </c>
      <c r="BB15" s="93">
        <v>236158</v>
      </c>
      <c r="BC15" s="92">
        <v>1299.1616881367199</v>
      </c>
      <c r="BD15" s="91">
        <f t="shared" si="13"/>
        <v>4239582.3247512644</v>
      </c>
      <c r="BE15" s="90">
        <v>5798.78</v>
      </c>
      <c r="BF15" s="89">
        <f t="shared" si="14"/>
        <v>806.54587297538308</v>
      </c>
      <c r="BG15" s="83">
        <f t="shared" si="15"/>
        <v>0.62732307286849875</v>
      </c>
      <c r="BH15" s="86">
        <f t="shared" si="16"/>
        <v>2.9300222880281897E-2</v>
      </c>
      <c r="BI15" s="86">
        <f t="shared" si="17"/>
        <v>-1.8573104937352936E-3</v>
      </c>
      <c r="BJ15" s="87">
        <f t="shared" si="18"/>
        <v>-1.1075417965393963E-2</v>
      </c>
      <c r="BK15" s="86">
        <f t="shared" si="19"/>
        <v>1.636749442115264E-2</v>
      </c>
      <c r="BL15" s="88">
        <f t="shared" si="20"/>
        <v>5797.8308850070052</v>
      </c>
      <c r="BM15" s="85">
        <f t="shared" si="21"/>
        <v>806.67790593663381</v>
      </c>
      <c r="BN15" s="85">
        <f t="shared" si="22"/>
        <v>4240276.3517465778</v>
      </c>
      <c r="BO15" s="83">
        <f t="shared" si="23"/>
        <v>0.62739416181149377</v>
      </c>
      <c r="BP15" s="86">
        <f t="shared" si="24"/>
        <v>2.9291576983052254E-2</v>
      </c>
      <c r="BQ15" s="86">
        <f t="shared" si="25"/>
        <v>-1.8569971817816678E-3</v>
      </c>
      <c r="BR15" s="87">
        <f t="shared" si="26"/>
        <v>-1.1077231030564908E-2</v>
      </c>
      <c r="BS15" s="86">
        <f t="shared" si="27"/>
        <v>1.6357348770705677E-2</v>
      </c>
      <c r="BT15" s="85">
        <f t="shared" si="28"/>
        <v>5797.8314733309535</v>
      </c>
      <c r="BU15" s="84">
        <f t="shared" si="29"/>
        <v>806.67782408052392</v>
      </c>
      <c r="BV15" s="83">
        <f t="shared" si="30"/>
        <v>9.2221854445517728</v>
      </c>
    </row>
    <row r="16" spans="1:74" s="100" customFormat="1" x14ac:dyDescent="0.25">
      <c r="B16" s="107">
        <v>6</v>
      </c>
      <c r="C16" s="106">
        <v>45238.328726851898</v>
      </c>
      <c r="D16" s="103">
        <v>186.10613000000001</v>
      </c>
      <c r="E16" s="103">
        <v>0.96847190810810801</v>
      </c>
      <c r="F16" s="102">
        <v>20.076929132699998</v>
      </c>
      <c r="G16" s="102">
        <v>35.713860353746298</v>
      </c>
      <c r="H16" s="103">
        <f t="shared" si="0"/>
        <v>8.1782638574166864</v>
      </c>
      <c r="I16" s="103">
        <v>42.385802142368703</v>
      </c>
      <c r="J16" s="105">
        <v>1.8182268521645901E-5</v>
      </c>
      <c r="K16" s="104">
        <v>152384</v>
      </c>
      <c r="L16" s="103">
        <v>818.80161604564</v>
      </c>
      <c r="M16" s="102">
        <v>100.143125414759</v>
      </c>
      <c r="N16" s="103">
        <v>8.1880161604563995</v>
      </c>
      <c r="O16" s="102">
        <f t="shared" si="1"/>
        <v>0.1192466177386651</v>
      </c>
      <c r="Q16" s="97">
        <f t="shared" si="2"/>
        <v>20.076929132699998</v>
      </c>
      <c r="R16" s="97">
        <f t="shared" si="3"/>
        <v>36.682332261854405</v>
      </c>
      <c r="S16" s="67">
        <v>42.386786402139997</v>
      </c>
      <c r="T16" s="67">
        <v>355.78561969854798</v>
      </c>
      <c r="U16" s="67">
        <v>1.4626833986659999</v>
      </c>
      <c r="V16" s="67">
        <v>93.52</v>
      </c>
      <c r="W16" s="67">
        <v>44.7</v>
      </c>
      <c r="X16" s="67">
        <f t="shared" si="4"/>
        <v>2.2350000000000002E-2</v>
      </c>
      <c r="Y16" s="67">
        <v>1</v>
      </c>
      <c r="Z16" s="67">
        <f t="shared" si="5"/>
        <v>0.99931919734369601</v>
      </c>
      <c r="AA16" s="96">
        <f t="shared" si="6"/>
        <v>1.0025974272872733</v>
      </c>
      <c r="AB16" s="100">
        <f t="shared" si="7"/>
        <v>8.203695034749499</v>
      </c>
      <c r="AC16" s="100">
        <f t="shared" si="8"/>
        <v>0.31096058743262073</v>
      </c>
      <c r="AD16" s="101">
        <f t="shared" si="9"/>
        <v>8.1782638574166864</v>
      </c>
      <c r="AE16" s="204"/>
      <c r="AF16" s="204"/>
      <c r="AG16" s="200">
        <f>STDEV(AC16:AC18)</f>
        <v>0.20841466906675604</v>
      </c>
      <c r="AH16" s="200"/>
      <c r="AI16" s="200"/>
      <c r="AJ16" s="200"/>
      <c r="AK16" s="101"/>
      <c r="AL16" s="101"/>
      <c r="AM16" s="101">
        <f t="shared" si="10"/>
        <v>8.2092839370602029</v>
      </c>
      <c r="AN16" s="101">
        <f t="shared" si="11"/>
        <v>0.37929908088481484</v>
      </c>
      <c r="AO16" s="101">
        <f t="shared" si="12"/>
        <v>8.1782638574166864</v>
      </c>
      <c r="AP16" s="204"/>
      <c r="AQ16" s="204"/>
      <c r="AR16" s="200">
        <f>STDEV(AN16:AN18)</f>
        <v>0.20856128948990729</v>
      </c>
      <c r="AS16" s="200"/>
      <c r="AT16" s="200"/>
      <c r="AU16" s="200"/>
      <c r="AW16" s="85">
        <v>20.198205906976</v>
      </c>
      <c r="AX16" s="85">
        <v>34.865338436305599</v>
      </c>
      <c r="AY16" s="92">
        <v>711.25108985515305</v>
      </c>
      <c r="AZ16" s="92">
        <v>41.384442173320302</v>
      </c>
      <c r="BA16" s="94">
        <v>1.8171159064639199E-5</v>
      </c>
      <c r="BB16" s="93">
        <v>213215</v>
      </c>
      <c r="BC16" s="92">
        <v>1145.66349856396</v>
      </c>
      <c r="BD16" s="91">
        <f t="shared" si="13"/>
        <v>3759240.1574719022</v>
      </c>
      <c r="BE16" s="90">
        <v>5798.78</v>
      </c>
      <c r="BF16" s="89">
        <f t="shared" si="14"/>
        <v>711.25108985515169</v>
      </c>
      <c r="BG16" s="83">
        <f t="shared" si="15"/>
        <v>0.57510007131988139</v>
      </c>
      <c r="BH16" s="86">
        <f t="shared" si="16"/>
        <v>3.5731830803568981E-2</v>
      </c>
      <c r="BI16" s="86">
        <f t="shared" si="17"/>
        <v>-2.1031474712432229E-3</v>
      </c>
      <c r="BJ16" s="87">
        <f t="shared" si="18"/>
        <v>-9.7693436361241011E-3</v>
      </c>
      <c r="BK16" s="86">
        <f t="shared" si="19"/>
        <v>2.3859339696201656E-2</v>
      </c>
      <c r="BL16" s="88">
        <f t="shared" si="20"/>
        <v>5797.3964493815647</v>
      </c>
      <c r="BM16" s="85">
        <f t="shared" si="21"/>
        <v>711.42083016769084</v>
      </c>
      <c r="BN16" s="85">
        <f t="shared" si="22"/>
        <v>3760137.3014036873</v>
      </c>
      <c r="BO16" s="83">
        <f t="shared" si="23"/>
        <v>0.57520370347906657</v>
      </c>
      <c r="BP16" s="86">
        <f t="shared" si="24"/>
        <v>3.5718972639090282E-2</v>
      </c>
      <c r="BQ16" s="86">
        <f t="shared" si="25"/>
        <v>-2.1026283073330545E-3</v>
      </c>
      <c r="BR16" s="87">
        <f t="shared" si="26"/>
        <v>-9.7716750932786162E-3</v>
      </c>
      <c r="BS16" s="86">
        <f t="shared" si="27"/>
        <v>2.3844669238478611E-2</v>
      </c>
      <c r="BT16" s="85">
        <f t="shared" si="28"/>
        <v>5797.3973000891328</v>
      </c>
      <c r="BU16" s="84">
        <f t="shared" si="29"/>
        <v>711.42072577410647</v>
      </c>
      <c r="BV16" s="83">
        <f t="shared" si="30"/>
        <v>8.1782638574166864</v>
      </c>
    </row>
    <row r="17" spans="2:74" s="100" customFormat="1" x14ac:dyDescent="0.25">
      <c r="B17" s="107">
        <v>7</v>
      </c>
      <c r="C17" s="106">
        <v>45238.331111111103</v>
      </c>
      <c r="D17" s="103">
        <v>186.86494999999999</v>
      </c>
      <c r="E17" s="103">
        <v>0.96860354054053999</v>
      </c>
      <c r="F17" s="102">
        <v>20.002763024709001</v>
      </c>
      <c r="G17" s="102">
        <v>35.702069428319597</v>
      </c>
      <c r="H17" s="103">
        <f t="shared" si="0"/>
        <v>8.1765878756044739</v>
      </c>
      <c r="I17" s="103">
        <v>42.383994167591297</v>
      </c>
      <c r="J17" s="105">
        <v>1.81787926343449E-5</v>
      </c>
      <c r="K17" s="104">
        <v>153514</v>
      </c>
      <c r="L17" s="103">
        <v>821.52377960660897</v>
      </c>
      <c r="M17" s="102">
        <v>100.496658582045</v>
      </c>
      <c r="N17" s="103">
        <v>8.2152377960660896</v>
      </c>
      <c r="O17" s="102">
        <f t="shared" si="1"/>
        <v>0.47269008845280058</v>
      </c>
      <c r="Q17" s="97">
        <f t="shared" si="2"/>
        <v>20.002763024709001</v>
      </c>
      <c r="R17" s="97">
        <f t="shared" si="3"/>
        <v>36.670672968860138</v>
      </c>
      <c r="S17" s="67">
        <v>42.384979330834</v>
      </c>
      <c r="T17" s="67">
        <v>355.73547573402902</v>
      </c>
      <c r="U17" s="67">
        <v>1.462673692868</v>
      </c>
      <c r="V17" s="67">
        <v>93.52</v>
      </c>
      <c r="W17" s="67">
        <v>44.7</v>
      </c>
      <c r="X17" s="67">
        <f t="shared" si="4"/>
        <v>2.2350000000000002E-2</v>
      </c>
      <c r="Y17" s="67">
        <v>1</v>
      </c>
      <c r="Z17" s="67">
        <f t="shared" si="5"/>
        <v>0.99931900553094144</v>
      </c>
      <c r="AA17" s="96">
        <f t="shared" si="6"/>
        <v>1.0025965146643059</v>
      </c>
      <c r="AB17" s="100">
        <f t="shared" si="7"/>
        <v>8.2309597236901322</v>
      </c>
      <c r="AC17" s="100">
        <f t="shared" si="8"/>
        <v>0.66496989835920706</v>
      </c>
      <c r="AD17" s="101">
        <f t="shared" si="9"/>
        <v>8.1765878756044739</v>
      </c>
      <c r="AE17" s="204"/>
      <c r="AF17" s="204"/>
      <c r="AG17" s="200"/>
      <c r="AH17" s="200"/>
      <c r="AI17" s="200"/>
      <c r="AJ17" s="200"/>
      <c r="AK17" s="101"/>
      <c r="AL17" s="101"/>
      <c r="AM17" s="101">
        <f t="shared" si="10"/>
        <v>8.236568781474336</v>
      </c>
      <c r="AN17" s="101">
        <f t="shared" si="11"/>
        <v>0.73356890162973909</v>
      </c>
      <c r="AO17" s="101">
        <f t="shared" si="12"/>
        <v>8.1765878756044739</v>
      </c>
      <c r="AP17" s="204"/>
      <c r="AQ17" s="204"/>
      <c r="AR17" s="200"/>
      <c r="AS17" s="200"/>
      <c r="AT17" s="200"/>
      <c r="AU17" s="200"/>
      <c r="AW17" s="85">
        <v>20.172231061040002</v>
      </c>
      <c r="AX17" s="85">
        <v>34.853489824971597</v>
      </c>
      <c r="AY17" s="92">
        <v>711.26985292071504</v>
      </c>
      <c r="AZ17" s="92">
        <v>41.374867500869797</v>
      </c>
      <c r="BA17" s="94">
        <v>1.8169793139445399E-5</v>
      </c>
      <c r="BB17" s="93">
        <v>214090</v>
      </c>
      <c r="BC17" s="92">
        <v>1145.6937215887699</v>
      </c>
      <c r="BD17" s="91">
        <f t="shared" si="13"/>
        <v>3758752.115003454</v>
      </c>
      <c r="BE17" s="90">
        <v>5798.78</v>
      </c>
      <c r="BF17" s="89">
        <f t="shared" si="14"/>
        <v>711.26985292071299</v>
      </c>
      <c r="BG17" s="83">
        <f t="shared" si="15"/>
        <v>0.57504368548079099</v>
      </c>
      <c r="BH17" s="86">
        <f t="shared" si="16"/>
        <v>3.5738826934741078E-2</v>
      </c>
      <c r="BI17" s="86">
        <f t="shared" si="17"/>
        <v>-2.1035767522491877E-3</v>
      </c>
      <c r="BJ17" s="87">
        <f t="shared" si="18"/>
        <v>-9.7705358482192157E-3</v>
      </c>
      <c r="BK17" s="86">
        <f t="shared" si="19"/>
        <v>2.3864714334272674E-2</v>
      </c>
      <c r="BL17" s="88">
        <f t="shared" si="20"/>
        <v>5797.3961377181267</v>
      </c>
      <c r="BM17" s="85">
        <f t="shared" si="21"/>
        <v>711.43963595749494</v>
      </c>
      <c r="BN17" s="85">
        <f t="shared" si="22"/>
        <v>3759649.3445795085</v>
      </c>
      <c r="BO17" s="83">
        <f t="shared" si="23"/>
        <v>0.57514734098730402</v>
      </c>
      <c r="BP17" s="86">
        <f t="shared" si="24"/>
        <v>3.5725965801064706E-2</v>
      </c>
      <c r="BQ17" s="86">
        <f t="shared" si="25"/>
        <v>-2.103057365841455E-3</v>
      </c>
      <c r="BR17" s="87">
        <f t="shared" si="26"/>
        <v>-9.7728681152771894E-3</v>
      </c>
      <c r="BS17" s="86">
        <f t="shared" si="27"/>
        <v>2.3850040319946066E-2</v>
      </c>
      <c r="BT17" s="85">
        <f t="shared" si="28"/>
        <v>5797.3969886319346</v>
      </c>
      <c r="BU17" s="84">
        <f t="shared" si="29"/>
        <v>711.4395315358363</v>
      </c>
      <c r="BV17" s="83">
        <f t="shared" si="30"/>
        <v>8.1765878756044739</v>
      </c>
    </row>
    <row r="18" spans="2:74" s="100" customFormat="1" x14ac:dyDescent="0.25">
      <c r="B18" s="107">
        <v>8</v>
      </c>
      <c r="C18" s="106">
        <v>45238.333622685197</v>
      </c>
      <c r="D18" s="103">
        <v>186.66274999999999</v>
      </c>
      <c r="E18" s="103">
        <v>0.968773102702704</v>
      </c>
      <c r="F18" s="102">
        <v>19.995578645698998</v>
      </c>
      <c r="G18" s="102">
        <v>35.697712621811299</v>
      </c>
      <c r="H18" s="103">
        <f t="shared" si="0"/>
        <v>8.1767487757649544</v>
      </c>
      <c r="I18" s="103">
        <v>42.380276469386203</v>
      </c>
      <c r="J18" s="105">
        <v>1.81783964553808E-5</v>
      </c>
      <c r="K18" s="104">
        <v>152791</v>
      </c>
      <c r="L18" s="103">
        <v>818.540389017091</v>
      </c>
      <c r="M18" s="102">
        <v>100.12972531651801</v>
      </c>
      <c r="N18" s="103">
        <v>8.1854038901709103</v>
      </c>
      <c r="O18" s="102">
        <f t="shared" si="1"/>
        <v>0.1058503158566981</v>
      </c>
      <c r="Q18" s="97">
        <f t="shared" si="2"/>
        <v>19.995578645698998</v>
      </c>
      <c r="R18" s="97">
        <f t="shared" si="3"/>
        <v>36.666485724514004</v>
      </c>
      <c r="S18" s="67">
        <v>42.381261573940002</v>
      </c>
      <c r="T18" s="67">
        <v>355.72991567153002</v>
      </c>
      <c r="U18" s="67">
        <v>1.4626666924880001</v>
      </c>
      <c r="V18" s="67">
        <v>93.52</v>
      </c>
      <c r="W18" s="67">
        <v>44.7</v>
      </c>
      <c r="X18" s="67">
        <f t="shared" si="4"/>
        <v>2.2350000000000002E-2</v>
      </c>
      <c r="Y18" s="67">
        <v>1</v>
      </c>
      <c r="Z18" s="67">
        <f t="shared" si="5"/>
        <v>0.99931898425737065</v>
      </c>
      <c r="AA18" s="96">
        <f t="shared" si="6"/>
        <v>1.0025961774459295</v>
      </c>
      <c r="AB18" s="100">
        <f t="shared" si="7"/>
        <v>8.20106579012465</v>
      </c>
      <c r="AC18" s="100">
        <f t="shared" si="8"/>
        <v>0.29739221573944791</v>
      </c>
      <c r="AD18" s="101">
        <f t="shared" si="9"/>
        <v>8.1767487757649544</v>
      </c>
      <c r="AE18" s="204"/>
      <c r="AF18" s="204"/>
      <c r="AG18" s="200"/>
      <c r="AH18" s="200"/>
      <c r="AI18" s="200"/>
      <c r="AJ18" s="200"/>
      <c r="AK18" s="101"/>
      <c r="AL18" s="101"/>
      <c r="AM18" s="101">
        <f t="shared" si="10"/>
        <v>8.2066546511363967</v>
      </c>
      <c r="AN18" s="101">
        <f t="shared" si="11"/>
        <v>0.36574286665233302</v>
      </c>
      <c r="AO18" s="101">
        <f t="shared" si="12"/>
        <v>8.1767487757649544</v>
      </c>
      <c r="AP18" s="204"/>
      <c r="AQ18" s="204"/>
      <c r="AR18" s="200"/>
      <c r="AS18" s="200"/>
      <c r="AT18" s="200"/>
      <c r="AU18" s="200"/>
      <c r="AW18" s="85">
        <v>20.145941284428002</v>
      </c>
      <c r="AX18" s="85">
        <v>34.849258017511701</v>
      </c>
      <c r="AY18" s="92">
        <v>711.29532683109596</v>
      </c>
      <c r="AZ18" s="92">
        <v>41.3742023489338</v>
      </c>
      <c r="BA18" s="94">
        <v>1.8168560938974201E-5</v>
      </c>
      <c r="BB18" s="93">
        <v>213866</v>
      </c>
      <c r="BC18" s="92">
        <v>1145.7347542560001</v>
      </c>
      <c r="BD18" s="91">
        <f t="shared" si="13"/>
        <v>3759081.2302121525</v>
      </c>
      <c r="BE18" s="90">
        <v>5798.78</v>
      </c>
      <c r="BF18" s="89">
        <f t="shared" si="14"/>
        <v>711.29532683109221</v>
      </c>
      <c r="BG18" s="83">
        <f t="shared" si="15"/>
        <v>0.5750817105107634</v>
      </c>
      <c r="BH18" s="86">
        <f t="shared" si="16"/>
        <v>3.5734108935605455E-2</v>
      </c>
      <c r="BI18" s="86">
        <f t="shared" si="17"/>
        <v>-2.1035326250795601E-3</v>
      </c>
      <c r="BJ18" s="87">
        <f t="shared" si="18"/>
        <v>-9.7718368296556245E-3</v>
      </c>
      <c r="BK18" s="86">
        <f t="shared" si="19"/>
        <v>2.3858739480870268E-2</v>
      </c>
      <c r="BL18" s="88">
        <f t="shared" si="20"/>
        <v>5797.396484186731</v>
      </c>
      <c r="BM18" s="85">
        <f t="shared" si="21"/>
        <v>711.46507342945904</v>
      </c>
      <c r="BN18" s="85">
        <f t="shared" si="22"/>
        <v>3759978.3136425405</v>
      </c>
      <c r="BO18" s="83">
        <f t="shared" si="23"/>
        <v>0.57518534006262434</v>
      </c>
      <c r="BP18" s="86">
        <f t="shared" si="24"/>
        <v>3.5721251071015904E-2</v>
      </c>
      <c r="BQ18" s="86">
        <f t="shared" si="25"/>
        <v>-2.1030133801992527E-3</v>
      </c>
      <c r="BR18" s="87">
        <f t="shared" si="26"/>
        <v>-9.774168823131554E-3</v>
      </c>
      <c r="BS18" s="86">
        <f t="shared" si="27"/>
        <v>2.3844068867685093E-2</v>
      </c>
      <c r="BT18" s="85">
        <f t="shared" si="28"/>
        <v>5797.397334903314</v>
      </c>
      <c r="BU18" s="84">
        <f t="shared" si="29"/>
        <v>711.46496902827664</v>
      </c>
      <c r="BV18" s="83">
        <f t="shared" si="30"/>
        <v>8.1767487757649544</v>
      </c>
    </row>
    <row r="19" spans="2:74" x14ac:dyDescent="0.25">
      <c r="B19" s="99">
        <v>10</v>
      </c>
      <c r="C19" s="98">
        <v>45238.3418634259</v>
      </c>
      <c r="D19" s="73">
        <v>187.24941000000001</v>
      </c>
      <c r="E19" s="73">
        <v>0.969337913978495</v>
      </c>
      <c r="F19" s="71">
        <v>19.955250022335999</v>
      </c>
      <c r="G19" s="71">
        <v>35.611205191922103</v>
      </c>
      <c r="H19" s="92">
        <f t="shared" si="0"/>
        <v>6.5501198748066782</v>
      </c>
      <c r="I19" s="73">
        <v>42.287056839841803</v>
      </c>
      <c r="J19" s="75">
        <v>1.8174958824617301E-5</v>
      </c>
      <c r="K19" s="74">
        <v>122781</v>
      </c>
      <c r="L19" s="73">
        <v>655.70834108369104</v>
      </c>
      <c r="M19" s="71">
        <v>100.143483724386</v>
      </c>
      <c r="N19" s="73">
        <v>6.5570834108369098</v>
      </c>
      <c r="O19" s="71">
        <f t="shared" si="1"/>
        <v>0.10631158151799643</v>
      </c>
      <c r="Q19" s="97">
        <f t="shared" si="2"/>
        <v>19.955250022335999</v>
      </c>
      <c r="R19" s="97">
        <f t="shared" si="3"/>
        <v>36.580543105900595</v>
      </c>
      <c r="S19" s="67">
        <v>42.288038623779997</v>
      </c>
      <c r="T19" s="67">
        <v>355.68437577645602</v>
      </c>
      <c r="U19" s="67">
        <v>1.4625036878519999</v>
      </c>
      <c r="V19" s="67">
        <v>93.52</v>
      </c>
      <c r="W19" s="67">
        <v>44.7</v>
      </c>
      <c r="X19" s="67">
        <f t="shared" si="4"/>
        <v>2.2350000000000002E-2</v>
      </c>
      <c r="Y19" s="67">
        <v>1</v>
      </c>
      <c r="Z19" s="67">
        <f t="shared" si="5"/>
        <v>0.99931880997789369</v>
      </c>
      <c r="AA19" s="96">
        <f t="shared" si="6"/>
        <v>1.0025894817869971</v>
      </c>
      <c r="AB19" s="96">
        <f t="shared" si="7"/>
        <v>6.5695846728809073</v>
      </c>
      <c r="AC19" s="67">
        <f t="shared" si="8"/>
        <v>0.2971670510809325</v>
      </c>
      <c r="AD19" s="95">
        <f t="shared" si="9"/>
        <v>6.5501198748066782</v>
      </c>
      <c r="AE19" s="199">
        <f>AVERAGE(AD19:AD21)</f>
        <v>6.5486108612944731</v>
      </c>
      <c r="AF19" s="199">
        <f>AVERAGE(AC19:AC21)</f>
        <v>0.263575111852977</v>
      </c>
      <c r="AG19" s="200">
        <f>STDEV(AC19:AC21)</f>
        <v>8.1735569589342388E-2</v>
      </c>
      <c r="AH19" s="200">
        <f>AG19*4.303/SQRT(2)</f>
        <v>0.2486952220658688</v>
      </c>
      <c r="AI19" s="200">
        <v>0.25</v>
      </c>
      <c r="AJ19" s="200">
        <f>SQRT(AI19^2+AH19^2)</f>
        <v>0.35263198022639947</v>
      </c>
      <c r="AK19" s="76"/>
      <c r="AL19" s="76"/>
      <c r="AM19" s="95">
        <f t="shared" si="10"/>
        <v>6.5740628589050933</v>
      </c>
      <c r="AN19" s="95">
        <f t="shared" si="11"/>
        <v>0.3655350521218021</v>
      </c>
      <c r="AO19" s="95">
        <f t="shared" si="12"/>
        <v>6.5501198748066782</v>
      </c>
      <c r="AP19" s="199">
        <f>AVERAGE(AO19:AO21)</f>
        <v>6.5486108612944731</v>
      </c>
      <c r="AQ19" s="199">
        <f>AVERAGE(AN19:AN21)</f>
        <v>0.33192554708036287</v>
      </c>
      <c r="AR19" s="200">
        <f>STDEV(AN19:AN21)</f>
        <v>8.1791631567218817E-2</v>
      </c>
      <c r="AS19" s="200">
        <f>AR19*4.303/SQRT(2)</f>
        <v>0.24886580075159254</v>
      </c>
      <c r="AT19" s="200">
        <v>0.25</v>
      </c>
      <c r="AU19" s="200">
        <f>SQRT(AT19^2+AS19^2)</f>
        <v>0.35275230230819382</v>
      </c>
      <c r="AW19" s="85">
        <v>20.020275222881999</v>
      </c>
      <c r="AX19" s="85">
        <v>35.072764293013599</v>
      </c>
      <c r="AY19" s="92">
        <v>565.90471361437596</v>
      </c>
      <c r="AZ19" s="92">
        <v>41.653087859761499</v>
      </c>
      <c r="BA19" s="94">
        <v>1.8167373196048199E-5</v>
      </c>
      <c r="BB19" s="93">
        <v>170686</v>
      </c>
      <c r="BC19" s="92">
        <v>911.54359311465896</v>
      </c>
      <c r="BD19" s="91">
        <f t="shared" si="13"/>
        <v>3011071.2139013889</v>
      </c>
      <c r="BE19" s="90">
        <v>5798.78</v>
      </c>
      <c r="BF19" s="89">
        <f t="shared" si="14"/>
        <v>565.90471361437619</v>
      </c>
      <c r="BG19" s="83">
        <f t="shared" si="15"/>
        <v>0.4787210269968753</v>
      </c>
      <c r="BH19" s="86">
        <f t="shared" si="16"/>
        <v>4.7567885416839664E-2</v>
      </c>
      <c r="BI19" s="86">
        <f t="shared" si="17"/>
        <v>-2.6496198110791736E-3</v>
      </c>
      <c r="BJ19" s="87">
        <f t="shared" si="18"/>
        <v>-7.7781932003372113E-3</v>
      </c>
      <c r="BK19" s="86">
        <f t="shared" si="19"/>
        <v>3.7140072405423274E-2</v>
      </c>
      <c r="BL19" s="88">
        <f t="shared" si="20"/>
        <v>5796.6263289093686</v>
      </c>
      <c r="BM19" s="85">
        <f t="shared" si="21"/>
        <v>566.11496912380665</v>
      </c>
      <c r="BN19" s="85">
        <f t="shared" si="22"/>
        <v>3012189.9434273657</v>
      </c>
      <c r="BO19" s="83">
        <f t="shared" si="23"/>
        <v>0.47888235424228948</v>
      </c>
      <c r="BP19" s="86">
        <f t="shared" si="24"/>
        <v>4.7548559730166584E-2</v>
      </c>
      <c r="BQ19" s="86">
        <f t="shared" si="25"/>
        <v>-2.6485933179006931E-3</v>
      </c>
      <c r="BR19" s="87">
        <f t="shared" si="26"/>
        <v>-7.7810831002345648E-3</v>
      </c>
      <c r="BS19" s="86">
        <f t="shared" si="27"/>
        <v>3.7118883312031323E-2</v>
      </c>
      <c r="BT19" s="85">
        <f t="shared" si="28"/>
        <v>5796.6275576182779</v>
      </c>
      <c r="BU19" s="84">
        <f t="shared" si="29"/>
        <v>566.11484912463493</v>
      </c>
      <c r="BV19" s="83">
        <f t="shared" si="30"/>
        <v>6.5501198748066782</v>
      </c>
    </row>
    <row r="20" spans="2:74" x14ac:dyDescent="0.25">
      <c r="B20" s="99">
        <v>11</v>
      </c>
      <c r="C20" s="98">
        <v>45238.3444212963</v>
      </c>
      <c r="D20" s="73">
        <v>187.43955</v>
      </c>
      <c r="E20" s="73">
        <v>0.96949698924731298</v>
      </c>
      <c r="F20" s="71">
        <v>19.935385603713002</v>
      </c>
      <c r="G20" s="71">
        <v>35.599840564690602</v>
      </c>
      <c r="H20" s="92">
        <f t="shared" si="0"/>
        <v>6.547961729015813</v>
      </c>
      <c r="I20" s="73">
        <v>42.2771983776857</v>
      </c>
      <c r="J20" s="75">
        <v>1.81738705196924E-5</v>
      </c>
      <c r="K20" s="74">
        <v>122710</v>
      </c>
      <c r="L20" s="73">
        <v>654.66439713497005</v>
      </c>
      <c r="M20" s="71">
        <v>100.017013900549</v>
      </c>
      <c r="N20" s="73">
        <v>6.5466439713496998</v>
      </c>
      <c r="O20" s="71">
        <f t="shared" si="1"/>
        <v>-2.0124700183781617E-2</v>
      </c>
      <c r="Q20" s="97">
        <f t="shared" si="2"/>
        <v>19.935385603713002</v>
      </c>
      <c r="R20" s="97">
        <f t="shared" si="3"/>
        <v>36.569337553937913</v>
      </c>
      <c r="S20" s="67">
        <v>42.278180015968999</v>
      </c>
      <c r="T20" s="67">
        <v>355.66909084057198</v>
      </c>
      <c r="U20" s="67">
        <v>1.4624850656270001</v>
      </c>
      <c r="V20" s="67">
        <v>93.52</v>
      </c>
      <c r="W20" s="67">
        <v>44.7</v>
      </c>
      <c r="X20" s="67">
        <f t="shared" si="4"/>
        <v>2.2350000000000002E-2</v>
      </c>
      <c r="Y20" s="67">
        <v>1</v>
      </c>
      <c r="Z20" s="67">
        <f t="shared" si="5"/>
        <v>0.99931875146802285</v>
      </c>
      <c r="AA20" s="96">
        <f t="shared" si="6"/>
        <v>1.0025886021736161</v>
      </c>
      <c r="AB20" s="96">
        <f t="shared" si="7"/>
        <v>6.5591191916838909</v>
      </c>
      <c r="AC20" s="67">
        <f t="shared" si="8"/>
        <v>0.17039596640640334</v>
      </c>
      <c r="AD20" s="95">
        <f t="shared" si="9"/>
        <v>6.547961729015813</v>
      </c>
      <c r="AE20" s="199"/>
      <c r="AF20" s="199"/>
      <c r="AG20" s="200"/>
      <c r="AH20" s="200"/>
      <c r="AI20" s="200"/>
      <c r="AJ20" s="200"/>
      <c r="AK20" s="76"/>
      <c r="AL20" s="76"/>
      <c r="AM20" s="95">
        <f t="shared" si="10"/>
        <v>6.5635906281638263</v>
      </c>
      <c r="AN20" s="95">
        <f t="shared" si="11"/>
        <v>0.23868342233518894</v>
      </c>
      <c r="AO20" s="95">
        <f t="shared" si="12"/>
        <v>6.547961729015813</v>
      </c>
      <c r="AP20" s="199"/>
      <c r="AQ20" s="199"/>
      <c r="AR20" s="200"/>
      <c r="AS20" s="200"/>
      <c r="AT20" s="200"/>
      <c r="AU20" s="200"/>
      <c r="AW20" s="85">
        <v>20.000872549076998</v>
      </c>
      <c r="AX20" s="85">
        <v>35.0615951406701</v>
      </c>
      <c r="AY20" s="92">
        <v>565.85065701676297</v>
      </c>
      <c r="AZ20" s="92">
        <v>41.643336213518602</v>
      </c>
      <c r="BA20" s="94">
        <v>1.81663090052204E-5</v>
      </c>
      <c r="BB20" s="93">
        <v>170843</v>
      </c>
      <c r="BC20" s="92">
        <v>911.45652024879496</v>
      </c>
      <c r="BD20" s="91">
        <f t="shared" si="13"/>
        <v>3010255.0488233403</v>
      </c>
      <c r="BE20" s="90">
        <v>5798.78</v>
      </c>
      <c r="BF20" s="89">
        <f t="shared" si="14"/>
        <v>565.85065701676251</v>
      </c>
      <c r="BG20" s="83">
        <f t="shared" si="15"/>
        <v>0.47860329346893687</v>
      </c>
      <c r="BH20" s="86">
        <f t="shared" si="16"/>
        <v>4.7581987340558671E-2</v>
      </c>
      <c r="BI20" s="86">
        <f t="shared" si="17"/>
        <v>-2.6505043753569887E-3</v>
      </c>
      <c r="BJ20" s="87">
        <f t="shared" si="18"/>
        <v>-7.7780053955488326E-3</v>
      </c>
      <c r="BK20" s="86">
        <f t="shared" si="19"/>
        <v>3.715347756965285E-2</v>
      </c>
      <c r="BL20" s="88">
        <f t="shared" si="20"/>
        <v>5796.6255515733865</v>
      </c>
      <c r="BM20" s="85">
        <f t="shared" si="21"/>
        <v>566.06096835166954</v>
      </c>
      <c r="BN20" s="85">
        <f t="shared" si="22"/>
        <v>3011373.8789419909</v>
      </c>
      <c r="BO20" s="83">
        <f t="shared" si="23"/>
        <v>0.47876467895387376</v>
      </c>
      <c r="BP20" s="86">
        <f t="shared" si="24"/>
        <v>4.7562656517533865E-2</v>
      </c>
      <c r="BQ20" s="86">
        <f t="shared" si="25"/>
        <v>-2.6494771649918981E-3</v>
      </c>
      <c r="BR20" s="87">
        <f t="shared" si="26"/>
        <v>-7.7808962690988888E-3</v>
      </c>
      <c r="BS20" s="86">
        <f t="shared" si="27"/>
        <v>3.7132283083443074E-2</v>
      </c>
      <c r="BT20" s="85">
        <f t="shared" si="28"/>
        <v>5796.6267805950138</v>
      </c>
      <c r="BU20" s="84">
        <f t="shared" si="29"/>
        <v>566.06084833339014</v>
      </c>
      <c r="BV20" s="83">
        <f t="shared" si="30"/>
        <v>6.547961729015813</v>
      </c>
    </row>
    <row r="21" spans="2:74" x14ac:dyDescent="0.25">
      <c r="B21" s="99">
        <v>12</v>
      </c>
      <c r="C21" s="98">
        <v>45238.346840277802</v>
      </c>
      <c r="D21" s="73">
        <v>187.55201</v>
      </c>
      <c r="E21" s="73">
        <v>0.96934118279570003</v>
      </c>
      <c r="F21" s="71">
        <v>19.921050369650999</v>
      </c>
      <c r="G21" s="71">
        <v>35.591822418303103</v>
      </c>
      <c r="H21" s="92">
        <f t="shared" si="0"/>
        <v>6.5477509800609281</v>
      </c>
      <c r="I21" s="73">
        <v>42.269981693990303</v>
      </c>
      <c r="J21" s="75">
        <v>1.81730834150011E-5</v>
      </c>
      <c r="K21" s="74">
        <v>122967</v>
      </c>
      <c r="L21" s="73">
        <v>655.64213361403097</v>
      </c>
      <c r="M21" s="71">
        <v>100.169610011719</v>
      </c>
      <c r="N21" s="73">
        <v>6.5564213361403096</v>
      </c>
      <c r="O21" s="71">
        <f t="shared" si="1"/>
        <v>0.13241731559102166</v>
      </c>
      <c r="Q21" s="97">
        <f t="shared" si="2"/>
        <v>19.921050369650999</v>
      </c>
      <c r="R21" s="97">
        <f t="shared" si="3"/>
        <v>36.561163601098805</v>
      </c>
      <c r="S21" s="67">
        <v>42.270963222928998</v>
      </c>
      <c r="T21" s="67">
        <v>355.65804037935499</v>
      </c>
      <c r="U21" s="67">
        <v>1.4624714527789999</v>
      </c>
      <c r="V21" s="67">
        <v>93.52</v>
      </c>
      <c r="W21" s="67">
        <v>44.7</v>
      </c>
      <c r="X21" s="67">
        <f t="shared" si="4"/>
        <v>2.2350000000000002E-2</v>
      </c>
      <c r="Y21" s="67">
        <v>1</v>
      </c>
      <c r="Z21" s="67">
        <f t="shared" si="5"/>
        <v>0.99931870916278764</v>
      </c>
      <c r="AA21" s="96">
        <f t="shared" si="6"/>
        <v>1.0025879815761995</v>
      </c>
      <c r="AB21" s="96">
        <f t="shared" si="7"/>
        <v>6.5689108439096486</v>
      </c>
      <c r="AC21" s="67">
        <f t="shared" si="8"/>
        <v>0.32316231807159512</v>
      </c>
      <c r="AD21" s="95">
        <f t="shared" si="9"/>
        <v>6.5477509800609281</v>
      </c>
      <c r="AE21" s="199"/>
      <c r="AF21" s="199"/>
      <c r="AG21" s="200"/>
      <c r="AH21" s="200"/>
      <c r="AI21" s="200"/>
      <c r="AJ21" s="200"/>
      <c r="AK21" s="76"/>
      <c r="AL21" s="76"/>
      <c r="AM21" s="95">
        <f t="shared" si="10"/>
        <v>6.5733892337640425</v>
      </c>
      <c r="AN21" s="95">
        <f t="shared" si="11"/>
        <v>0.39155816678409749</v>
      </c>
      <c r="AO21" s="95">
        <f t="shared" si="12"/>
        <v>6.5477509800609281</v>
      </c>
      <c r="AP21" s="199"/>
      <c r="AQ21" s="199"/>
      <c r="AR21" s="200"/>
      <c r="AS21" s="200"/>
      <c r="AT21" s="200"/>
      <c r="AU21" s="200"/>
      <c r="AW21" s="85">
        <v>19.983454366379998</v>
      </c>
      <c r="AX21" s="85">
        <v>35.053538512600198</v>
      </c>
      <c r="AY21" s="92">
        <v>565.92512684142105</v>
      </c>
      <c r="AZ21" s="92">
        <v>41.636517321394201</v>
      </c>
      <c r="BA21" s="94">
        <v>1.81653859447464E-5</v>
      </c>
      <c r="BB21" s="93">
        <v>170968</v>
      </c>
      <c r="BC21" s="92">
        <v>911.57647417375097</v>
      </c>
      <c r="BD21" s="91">
        <f t="shared" si="13"/>
        <v>3010311.1985788285</v>
      </c>
      <c r="BE21" s="90">
        <v>5798.78</v>
      </c>
      <c r="BF21" s="89">
        <f t="shared" si="14"/>
        <v>565.92512684142241</v>
      </c>
      <c r="BG21" s="83">
        <f t="shared" si="15"/>
        <v>0.47861139421161369</v>
      </c>
      <c r="BH21" s="86">
        <f t="shared" si="16"/>
        <v>4.7581017090304004E-2</v>
      </c>
      <c r="BI21" s="86">
        <f t="shared" si="17"/>
        <v>-2.6505745747715521E-3</v>
      </c>
      <c r="BJ21" s="87">
        <f t="shared" si="18"/>
        <v>-7.7795284158492474E-3</v>
      </c>
      <c r="BK21" s="86">
        <f t="shared" si="19"/>
        <v>3.7150914099683206E-2</v>
      </c>
      <c r="BL21" s="88">
        <f t="shared" si="20"/>
        <v>5796.6257002233706</v>
      </c>
      <c r="BM21" s="85">
        <f t="shared" si="21"/>
        <v>566.13545133663627</v>
      </c>
      <c r="BN21" s="85">
        <f t="shared" si="22"/>
        <v>3011429.9723410243</v>
      </c>
      <c r="BO21" s="83">
        <f t="shared" si="23"/>
        <v>0.4787727685594042</v>
      </c>
      <c r="BP21" s="86">
        <f t="shared" si="24"/>
        <v>4.7561687474663793E-2</v>
      </c>
      <c r="BQ21" s="86">
        <f t="shared" si="25"/>
        <v>-2.6495474134210625E-3</v>
      </c>
      <c r="BR21" s="87">
        <f t="shared" si="26"/>
        <v>-7.7824196558904839E-3</v>
      </c>
      <c r="BS21" s="86">
        <f t="shared" si="27"/>
        <v>3.7129720405352243E-2</v>
      </c>
      <c r="BT21" s="85">
        <f t="shared" si="28"/>
        <v>5796.6269291990784</v>
      </c>
      <c r="BU21" s="84">
        <f t="shared" si="29"/>
        <v>566.13533130705264</v>
      </c>
      <c r="BV21" s="83">
        <f t="shared" si="30"/>
        <v>6.5477509800609281</v>
      </c>
    </row>
    <row r="22" spans="2:74" x14ac:dyDescent="0.25">
      <c r="B22" s="99">
        <v>14</v>
      </c>
      <c r="C22" s="98">
        <v>45238.357662037</v>
      </c>
      <c r="D22" s="73">
        <v>187.59317999999999</v>
      </c>
      <c r="E22" s="73">
        <v>0.96964509677419397</v>
      </c>
      <c r="F22" s="71">
        <v>19.892172976046002</v>
      </c>
      <c r="G22" s="71">
        <v>35.510320813451003</v>
      </c>
      <c r="H22" s="92">
        <f t="shared" si="0"/>
        <v>4.8133885867263846</v>
      </c>
      <c r="I22" s="73">
        <v>42.180417691833703</v>
      </c>
      <c r="J22" s="75">
        <v>1.8170240234663499E-5</v>
      </c>
      <c r="K22" s="74">
        <v>90205</v>
      </c>
      <c r="L22" s="73">
        <v>480.854367946639</v>
      </c>
      <c r="M22" s="71">
        <v>99.952310924713004</v>
      </c>
      <c r="N22" s="73">
        <v>4.8085436794663901</v>
      </c>
      <c r="O22" s="71">
        <f t="shared" si="1"/>
        <v>-0.10065481256499979</v>
      </c>
      <c r="Q22" s="97">
        <f t="shared" si="2"/>
        <v>19.892172976046002</v>
      </c>
      <c r="R22" s="97">
        <f t="shared" si="3"/>
        <v>36.479965910225197</v>
      </c>
      <c r="S22" s="67">
        <v>42.18139589415</v>
      </c>
      <c r="T22" s="67">
        <v>355.62094363689999</v>
      </c>
      <c r="U22" s="67">
        <v>1.4623158381970001</v>
      </c>
      <c r="V22" s="67">
        <v>93.52</v>
      </c>
      <c r="W22" s="67">
        <v>44.7</v>
      </c>
      <c r="X22" s="67">
        <f t="shared" si="4"/>
        <v>2.2350000000000002E-2</v>
      </c>
      <c r="Y22" s="67">
        <v>1</v>
      </c>
      <c r="Z22" s="67">
        <f t="shared" si="5"/>
        <v>0.99931856711397871</v>
      </c>
      <c r="AA22" s="96">
        <f t="shared" si="6"/>
        <v>1.0025816734678874</v>
      </c>
      <c r="AB22" s="96">
        <f t="shared" si="7"/>
        <v>4.8176726099368601</v>
      </c>
      <c r="AC22" s="67">
        <f t="shared" si="8"/>
        <v>8.9002230617517761E-2</v>
      </c>
      <c r="AD22" s="95">
        <f t="shared" si="9"/>
        <v>4.8133885867263846</v>
      </c>
      <c r="AE22" s="199">
        <f>AVERAGE(AD22:AD24)</f>
        <v>4.8126458924199467</v>
      </c>
      <c r="AF22" s="199">
        <f>AVERAGE(AC22:AC24)</f>
        <v>0.11369090819430315</v>
      </c>
      <c r="AG22" s="200">
        <f>STDEV(AC22:AC24)</f>
        <v>5.82627128105353E-2</v>
      </c>
      <c r="AH22" s="200">
        <f>AG22*4.303/SQRT(2)</f>
        <v>0.17727481894816749</v>
      </c>
      <c r="AI22" s="200">
        <v>0.25</v>
      </c>
      <c r="AJ22" s="200">
        <f>SQRT(AI22^2+AH22^2)</f>
        <v>0.30647407954524564</v>
      </c>
      <c r="AK22" s="76"/>
      <c r="AL22" s="76"/>
      <c r="AM22" s="95">
        <f t="shared" si="10"/>
        <v>4.8209577691028462</v>
      </c>
      <c r="AN22" s="95">
        <f t="shared" si="11"/>
        <v>0.15725267636472903</v>
      </c>
      <c r="AO22" s="95">
        <f t="shared" si="12"/>
        <v>4.8133885867263846</v>
      </c>
      <c r="AP22" s="199">
        <f>AVERAGE(AO22:AO24)</f>
        <v>4.8126458924199467</v>
      </c>
      <c r="AQ22" s="199">
        <f>AVERAGE(AN22:AN24)</f>
        <v>0.18195740494358117</v>
      </c>
      <c r="AR22" s="200">
        <f>STDEV(AN22:AN24)</f>
        <v>5.8303260825655005E-2</v>
      </c>
      <c r="AS22" s="200">
        <f>AR22*4.303/SQRT(2)</f>
        <v>0.17739819360225248</v>
      </c>
      <c r="AT22" s="200">
        <v>0.25</v>
      </c>
      <c r="AU22" s="200">
        <f>SQRT(AT22^2+AS22^2)</f>
        <v>0.30654546007622141</v>
      </c>
      <c r="AW22" s="85">
        <v>19.877071662527001</v>
      </c>
      <c r="AX22" s="85">
        <v>35.225698045002801</v>
      </c>
      <c r="AY22" s="92">
        <v>413.80695714547801</v>
      </c>
      <c r="AZ22" s="92">
        <v>41.852888710181297</v>
      </c>
      <c r="BA22" s="94">
        <v>1.8164056788586801E-5</v>
      </c>
      <c r="BB22" s="93">
        <v>125040</v>
      </c>
      <c r="BC22" s="92">
        <v>666.54875193223995</v>
      </c>
      <c r="BD22" s="91">
        <f t="shared" si="13"/>
        <v>2212753.4494580766</v>
      </c>
      <c r="BE22" s="90">
        <v>5798.78</v>
      </c>
      <c r="BF22" s="89">
        <f t="shared" si="14"/>
        <v>413.80695714547954</v>
      </c>
      <c r="BG22" s="83">
        <f t="shared" si="15"/>
        <v>0.34493302644196255</v>
      </c>
      <c r="BH22" s="86">
        <f t="shared" si="16"/>
        <v>6.2368911320902373E-2</v>
      </c>
      <c r="BI22" s="86">
        <f t="shared" si="17"/>
        <v>-3.663370552774116E-3</v>
      </c>
      <c r="BJ22" s="87">
        <f t="shared" si="18"/>
        <v>-5.6907414531444881E-3</v>
      </c>
      <c r="BK22" s="86">
        <f t="shared" si="19"/>
        <v>5.301479931498377E-2</v>
      </c>
      <c r="BL22" s="88">
        <f t="shared" si="20"/>
        <v>5795.7057884202823</v>
      </c>
      <c r="BM22" s="85">
        <f t="shared" si="21"/>
        <v>414.0264524383507</v>
      </c>
      <c r="BN22" s="85">
        <f t="shared" si="22"/>
        <v>2213927.1584981345</v>
      </c>
      <c r="BO22" s="83">
        <f t="shared" si="23"/>
        <v>0.3451633278422877</v>
      </c>
      <c r="BP22" s="86">
        <f t="shared" si="24"/>
        <v>6.2346083920449671E-2</v>
      </c>
      <c r="BQ22" s="86">
        <f t="shared" si="25"/>
        <v>-3.6613157319688094E-3</v>
      </c>
      <c r="BR22" s="87">
        <f t="shared" si="26"/>
        <v>-5.6937599885759091E-3</v>
      </c>
      <c r="BS22" s="86">
        <f t="shared" si="27"/>
        <v>5.2991008199904953E-2</v>
      </c>
      <c r="BT22" s="85">
        <f t="shared" si="28"/>
        <v>5795.7071680147055</v>
      </c>
      <c r="BU22" s="84">
        <f t="shared" si="29"/>
        <v>414.0263538846163</v>
      </c>
      <c r="BV22" s="83">
        <f t="shared" si="30"/>
        <v>4.8133885867263846</v>
      </c>
    </row>
    <row r="23" spans="2:74" x14ac:dyDescent="0.25">
      <c r="B23" s="99">
        <v>15</v>
      </c>
      <c r="C23" s="98">
        <v>45238.3601851852</v>
      </c>
      <c r="D23" s="73">
        <v>181.86557999999999</v>
      </c>
      <c r="E23" s="73">
        <v>0.96972200555555599</v>
      </c>
      <c r="F23" s="71">
        <v>19.904036073274</v>
      </c>
      <c r="G23" s="71">
        <v>35.503538476946702</v>
      </c>
      <c r="H23" s="92">
        <f t="shared" si="0"/>
        <v>4.8124029123763785</v>
      </c>
      <c r="I23" s="73">
        <v>42.170784174382199</v>
      </c>
      <c r="J23" s="75">
        <v>1.8170630056647101E-5</v>
      </c>
      <c r="K23" s="74">
        <v>87418</v>
      </c>
      <c r="L23" s="73">
        <v>480.67369317492597</v>
      </c>
      <c r="M23" s="71">
        <v>99.935227361683403</v>
      </c>
      <c r="N23" s="73">
        <v>4.8067369317492599</v>
      </c>
      <c r="O23" s="71">
        <f t="shared" si="1"/>
        <v>-0.11773703761476556</v>
      </c>
      <c r="Q23" s="97">
        <f t="shared" si="2"/>
        <v>19.904036073274</v>
      </c>
      <c r="R23" s="97">
        <f t="shared" si="3"/>
        <v>36.473260482502255</v>
      </c>
      <c r="S23" s="67">
        <v>42.171761821377999</v>
      </c>
      <c r="T23" s="67">
        <v>355.62700034683297</v>
      </c>
      <c r="U23" s="67">
        <v>1.4623004375090001</v>
      </c>
      <c r="V23" s="67">
        <v>93.52</v>
      </c>
      <c r="W23" s="67">
        <v>44.7</v>
      </c>
      <c r="X23" s="67">
        <f t="shared" si="4"/>
        <v>2.2350000000000002E-2</v>
      </c>
      <c r="Y23" s="67">
        <v>1</v>
      </c>
      <c r="Z23" s="67">
        <f t="shared" si="5"/>
        <v>0.99931859030903358</v>
      </c>
      <c r="AA23" s="96">
        <f t="shared" si="6"/>
        <v>1.0025811485282647</v>
      </c>
      <c r="AB23" s="96">
        <f t="shared" si="7"/>
        <v>4.8158600223959516</v>
      </c>
      <c r="AC23" s="67">
        <f t="shared" si="8"/>
        <v>7.1837501608233378E-2</v>
      </c>
      <c r="AD23" s="95">
        <f t="shared" si="9"/>
        <v>4.8124029123763785</v>
      </c>
      <c r="AE23" s="199"/>
      <c r="AF23" s="199"/>
      <c r="AG23" s="200"/>
      <c r="AH23" s="200"/>
      <c r="AI23" s="200"/>
      <c r="AJ23" s="200"/>
      <c r="AK23" s="76"/>
      <c r="AL23" s="76"/>
      <c r="AM23" s="95">
        <f t="shared" si="10"/>
        <v>4.8191438337064003</v>
      </c>
      <c r="AN23" s="95">
        <f t="shared" si="11"/>
        <v>0.14007391843034839</v>
      </c>
      <c r="AO23" s="95">
        <f t="shared" si="12"/>
        <v>4.8124029123763785</v>
      </c>
      <c r="AP23" s="199"/>
      <c r="AQ23" s="199"/>
      <c r="AR23" s="200"/>
      <c r="AS23" s="200"/>
      <c r="AT23" s="200"/>
      <c r="AU23" s="200"/>
      <c r="AW23" s="85">
        <v>19.875526479289</v>
      </c>
      <c r="AX23" s="85">
        <v>35.218992081543703</v>
      </c>
      <c r="AY23" s="92">
        <v>413.79577627760301</v>
      </c>
      <c r="AZ23" s="92">
        <v>41.8454455865594</v>
      </c>
      <c r="BA23" s="94">
        <v>1.8163860569920601E-5</v>
      </c>
      <c r="BB23" s="93">
        <v>121219</v>
      </c>
      <c r="BC23" s="92">
        <v>666.53074210084196</v>
      </c>
      <c r="BD23" s="91">
        <f t="shared" si="13"/>
        <v>2212324.0549624041</v>
      </c>
      <c r="BE23" s="90">
        <v>5798.78</v>
      </c>
      <c r="BF23" s="89">
        <f t="shared" si="14"/>
        <v>413.79577627760165</v>
      </c>
      <c r="BG23" s="83">
        <f t="shared" si="15"/>
        <v>0.3448487415179452</v>
      </c>
      <c r="BH23" s="86">
        <f t="shared" si="16"/>
        <v>6.2377262915688909E-2</v>
      </c>
      <c r="BI23" s="86">
        <f t="shared" si="17"/>
        <v>-3.6641269136626548E-3</v>
      </c>
      <c r="BJ23" s="87">
        <f t="shared" si="18"/>
        <v>-5.6906178945115553E-3</v>
      </c>
      <c r="BK23" s="86">
        <f t="shared" si="19"/>
        <v>5.3022518107514696E-2</v>
      </c>
      <c r="BL23" s="88">
        <f t="shared" si="20"/>
        <v>5795.7053408244847</v>
      </c>
      <c r="BM23" s="85">
        <f t="shared" si="21"/>
        <v>414.01529761374684</v>
      </c>
      <c r="BN23" s="85">
        <f t="shared" si="22"/>
        <v>2213497.7071850062</v>
      </c>
      <c r="BO23" s="83">
        <f t="shared" si="23"/>
        <v>0.3450790764583429</v>
      </c>
      <c r="BP23" s="86">
        <f t="shared" si="24"/>
        <v>6.2354436142995434E-2</v>
      </c>
      <c r="BQ23" s="86">
        <f t="shared" si="25"/>
        <v>-3.6620713665091544E-3</v>
      </c>
      <c r="BR23" s="87">
        <f t="shared" si="26"/>
        <v>-5.6936368041169954E-3</v>
      </c>
      <c r="BS23" s="86">
        <f t="shared" si="27"/>
        <v>5.2998727972369285E-2</v>
      </c>
      <c r="BT23" s="85">
        <f t="shared" si="28"/>
        <v>5795.7067203620836</v>
      </c>
      <c r="BU23" s="84">
        <f t="shared" si="29"/>
        <v>414.01519906671933</v>
      </c>
      <c r="BV23" s="83">
        <f t="shared" si="30"/>
        <v>4.8124029123763785</v>
      </c>
    </row>
    <row r="24" spans="2:74" x14ac:dyDescent="0.25">
      <c r="B24" s="99">
        <v>16</v>
      </c>
      <c r="C24" s="98">
        <v>45238.362569444398</v>
      </c>
      <c r="D24" s="73">
        <v>181.78646000000001</v>
      </c>
      <c r="E24" s="73">
        <v>0.96966640883977895</v>
      </c>
      <c r="F24" s="71">
        <v>19.897229346545</v>
      </c>
      <c r="G24" s="71">
        <v>35.4964925377624</v>
      </c>
      <c r="H24" s="92">
        <f t="shared" si="0"/>
        <v>4.8121461781570769</v>
      </c>
      <c r="I24" s="73">
        <v>42.163621969589201</v>
      </c>
      <c r="J24" s="75">
        <v>1.8170193761096601E-5</v>
      </c>
      <c r="K24" s="74">
        <v>87470</v>
      </c>
      <c r="L24" s="73">
        <v>481.168949546627</v>
      </c>
      <c r="M24" s="71">
        <v>100.043532323912</v>
      </c>
      <c r="N24" s="73">
        <v>4.8116894954662701</v>
      </c>
      <c r="O24" s="71">
        <f t="shared" si="1"/>
        <v>-9.4902081919232967E-3</v>
      </c>
      <c r="Q24" s="97">
        <f t="shared" si="2"/>
        <v>19.897229346545</v>
      </c>
      <c r="R24" s="97">
        <f t="shared" si="3"/>
        <v>36.466158946602178</v>
      </c>
      <c r="S24" s="67">
        <v>42.164599409607</v>
      </c>
      <c r="T24" s="67">
        <v>355.62101678325098</v>
      </c>
      <c r="U24" s="67">
        <v>1.462287598111</v>
      </c>
      <c r="V24" s="67">
        <v>93.52</v>
      </c>
      <c r="W24" s="67">
        <v>44.7</v>
      </c>
      <c r="X24" s="67">
        <f t="shared" si="4"/>
        <v>2.2350000000000002E-2</v>
      </c>
      <c r="Y24" s="67">
        <v>1</v>
      </c>
      <c r="Z24" s="67">
        <f t="shared" si="5"/>
        <v>0.9993185673941104</v>
      </c>
      <c r="AA24" s="96">
        <f t="shared" si="6"/>
        <v>1.0025806031868909</v>
      </c>
      <c r="AB24" s="96">
        <f t="shared" si="7"/>
        <v>4.82081925321057</v>
      </c>
      <c r="AC24" s="67">
        <f t="shared" si="8"/>
        <v>0.18023299235715828</v>
      </c>
      <c r="AD24" s="95">
        <f t="shared" si="9"/>
        <v>4.8121461781570769</v>
      </c>
      <c r="AE24" s="199"/>
      <c r="AF24" s="199"/>
      <c r="AG24" s="200"/>
      <c r="AH24" s="200"/>
      <c r="AI24" s="200"/>
      <c r="AJ24" s="200"/>
      <c r="AK24" s="76"/>
      <c r="AL24" s="76"/>
      <c r="AM24" s="95">
        <f t="shared" si="10"/>
        <v>4.8241065567126</v>
      </c>
      <c r="AN24" s="95">
        <f t="shared" si="11"/>
        <v>0.24854562003566619</v>
      </c>
      <c r="AO24" s="95">
        <f t="shared" si="12"/>
        <v>4.8121461781570769</v>
      </c>
      <c r="AP24" s="199"/>
      <c r="AQ24" s="199"/>
      <c r="AR24" s="200"/>
      <c r="AS24" s="200"/>
      <c r="AT24" s="200"/>
      <c r="AU24" s="200"/>
      <c r="AW24" s="85">
        <v>19.872814533761002</v>
      </c>
      <c r="AX24" s="85">
        <v>35.212069601467597</v>
      </c>
      <c r="AY24" s="92">
        <v>413.84951610445103</v>
      </c>
      <c r="AZ24" s="92">
        <v>41.837779400954702</v>
      </c>
      <c r="BA24" s="94">
        <v>1.81636064113516E-5</v>
      </c>
      <c r="BB24" s="93">
        <v>121182</v>
      </c>
      <c r="BC24" s="92">
        <v>666.61730472115505</v>
      </c>
      <c r="BD24" s="91">
        <f t="shared" si="13"/>
        <v>2212236.9695209279</v>
      </c>
      <c r="BE24" s="90">
        <v>5798.78</v>
      </c>
      <c r="BF24" s="89">
        <f t="shared" si="14"/>
        <v>413.84951610444926</v>
      </c>
      <c r="BG24" s="83">
        <f t="shared" si="15"/>
        <v>0.34483164570822178</v>
      </c>
      <c r="BH24" s="86">
        <f t="shared" si="16"/>
        <v>6.237895672271955E-2</v>
      </c>
      <c r="BI24" s="86">
        <f t="shared" si="17"/>
        <v>-3.6642948012459162E-3</v>
      </c>
      <c r="BJ24" s="87">
        <f t="shared" si="18"/>
        <v>-5.6914117117744844E-3</v>
      </c>
      <c r="BK24" s="86">
        <f t="shared" si="19"/>
        <v>5.3023250209699148E-2</v>
      </c>
      <c r="BL24" s="88">
        <f t="shared" si="20"/>
        <v>5795.7052983714893</v>
      </c>
      <c r="BM24" s="85">
        <f t="shared" si="21"/>
        <v>414.0690689829371</v>
      </c>
      <c r="BN24" s="85">
        <f t="shared" si="22"/>
        <v>2213410.5917571634</v>
      </c>
      <c r="BO24" s="83">
        <f t="shared" si="23"/>
        <v>0.34506198382978553</v>
      </c>
      <c r="BP24" s="86">
        <f t="shared" si="24"/>
        <v>6.2356130436627806E-2</v>
      </c>
      <c r="BQ24" s="86">
        <f t="shared" si="25"/>
        <v>-3.6622391453166028E-3</v>
      </c>
      <c r="BR24" s="87">
        <f t="shared" si="26"/>
        <v>-5.6944310842162865E-3</v>
      </c>
      <c r="BS24" s="86">
        <f t="shared" si="27"/>
        <v>5.2999460207094916E-2</v>
      </c>
      <c r="BT24" s="85">
        <f t="shared" si="28"/>
        <v>5795.7066779014031</v>
      </c>
      <c r="BU24" s="84">
        <f t="shared" si="29"/>
        <v>414.06897042365887</v>
      </c>
      <c r="BV24" s="83">
        <f t="shared" si="30"/>
        <v>4.8121461781570769</v>
      </c>
    </row>
    <row r="25" spans="2:74" x14ac:dyDescent="0.25">
      <c r="B25" s="99">
        <v>18</v>
      </c>
      <c r="C25" s="98">
        <v>45238.372060185196</v>
      </c>
      <c r="D25" s="73">
        <v>182.37753000000001</v>
      </c>
      <c r="E25" s="73">
        <v>0.969853346153846</v>
      </c>
      <c r="F25" s="71">
        <v>19.837996891343</v>
      </c>
      <c r="G25" s="71">
        <v>35.439773884879401</v>
      </c>
      <c r="H25" s="92">
        <f t="shared" si="0"/>
        <v>3.297006364733686</v>
      </c>
      <c r="I25" s="73">
        <v>42.107384394760999</v>
      </c>
      <c r="J25" s="75">
        <v>1.81664991918256E-5</v>
      </c>
      <c r="K25" s="74">
        <v>60034</v>
      </c>
      <c r="L25" s="73">
        <v>329.17432317457099</v>
      </c>
      <c r="M25" s="71">
        <v>99.906453059191904</v>
      </c>
      <c r="N25" s="73">
        <v>3.29174323174571</v>
      </c>
      <c r="O25" s="71">
        <f t="shared" si="1"/>
        <v>-0.15963369207511705</v>
      </c>
      <c r="Q25" s="97">
        <f t="shared" si="2"/>
        <v>19.837996891343</v>
      </c>
      <c r="R25" s="97">
        <f t="shared" si="3"/>
        <v>36.409627231033248</v>
      </c>
      <c r="S25" s="67">
        <v>42.108360284687002</v>
      </c>
      <c r="T25" s="67">
        <v>355.570158419726</v>
      </c>
      <c r="U25" s="67">
        <v>1.462186291933</v>
      </c>
      <c r="V25" s="67">
        <v>93.52</v>
      </c>
      <c r="W25" s="67">
        <v>44.7</v>
      </c>
      <c r="X25" s="67">
        <f t="shared" si="4"/>
        <v>2.2350000000000002E-2</v>
      </c>
      <c r="Y25" s="67">
        <v>1</v>
      </c>
      <c r="Z25" s="67">
        <f t="shared" si="5"/>
        <v>0.99931837257798006</v>
      </c>
      <c r="AA25" s="96">
        <f t="shared" si="6"/>
        <v>1.0025762133000324</v>
      </c>
      <c r="AB25" s="96">
        <f t="shared" si="7"/>
        <v>3.2979739416274692</v>
      </c>
      <c r="AC25" s="67">
        <f t="shared" si="8"/>
        <v>2.9347134544014872E-2</v>
      </c>
      <c r="AD25" s="95">
        <f t="shared" si="9"/>
        <v>3.297006364733686</v>
      </c>
      <c r="AE25" s="199">
        <f>AVERAGE(AD25:AD27)</f>
        <v>3.2964354355642711</v>
      </c>
      <c r="AF25" s="199">
        <f>AVERAGE(AC25:AC27)</f>
        <v>-3.4833696838970133E-3</v>
      </c>
      <c r="AG25" s="200">
        <f>STDEV(AC25:AC27)</f>
        <v>6.0202483401543383E-2</v>
      </c>
      <c r="AH25" s="200">
        <f>AG25*4.303/SQRT(2)</f>
        <v>0.18317692106003067</v>
      </c>
      <c r="AI25" s="200">
        <v>0.25</v>
      </c>
      <c r="AJ25" s="200">
        <f>SQRT(AI25^2+AH25^2)</f>
        <v>0.30992544976015229</v>
      </c>
      <c r="AK25" s="76"/>
      <c r="AL25" s="76"/>
      <c r="AM25" s="95">
        <f t="shared" si="10"/>
        <v>3.3002234644396249</v>
      </c>
      <c r="AN25" s="95">
        <f t="shared" si="11"/>
        <v>9.757638748746314E-2</v>
      </c>
      <c r="AO25" s="95">
        <f t="shared" si="12"/>
        <v>3.297006364733686</v>
      </c>
      <c r="AP25" s="199">
        <f>AVERAGE(AO25:AO27)</f>
        <v>3.2964354355642711</v>
      </c>
      <c r="AQ25" s="199">
        <f>AVERAGE(AN25:AN27)</f>
        <v>6.471497851619025E-2</v>
      </c>
      <c r="AR25" s="200">
        <f>STDEV(AN25:AN27)</f>
        <v>6.0246392753766857E-2</v>
      </c>
      <c r="AS25" s="200">
        <f>AR25*4.303/SQRT(2)</f>
        <v>0.18331052318890612</v>
      </c>
      <c r="AT25" s="200">
        <v>0.25</v>
      </c>
      <c r="AU25" s="200">
        <f>SQRT(AT25^2+AS25^2)</f>
        <v>0.31000443208410827</v>
      </c>
      <c r="AW25" s="85">
        <v>19.774728973022</v>
      </c>
      <c r="AX25" s="85">
        <v>35.312551884614201</v>
      </c>
      <c r="AY25" s="92">
        <v>282.616941518065</v>
      </c>
      <c r="AZ25" s="92">
        <v>41.969782564438397</v>
      </c>
      <c r="BA25" s="94">
        <v>1.8161255518882099E-5</v>
      </c>
      <c r="BB25" s="93">
        <v>83024</v>
      </c>
      <c r="BC25" s="92">
        <v>455.23151892670103</v>
      </c>
      <c r="BD25" s="91">
        <f t="shared" si="13"/>
        <v>1515694.5656452668</v>
      </c>
      <c r="BE25" s="90">
        <v>5798.78</v>
      </c>
      <c r="BF25" s="89">
        <f t="shared" si="14"/>
        <v>282.61694151806483</v>
      </c>
      <c r="BG25" s="83">
        <f t="shared" si="15"/>
        <v>0.18061169349970441</v>
      </c>
      <c r="BH25" s="86">
        <f t="shared" si="16"/>
        <v>7.5545632727611847E-2</v>
      </c>
      <c r="BI25" s="86">
        <f t="shared" si="17"/>
        <v>-5.4931088921526755E-3</v>
      </c>
      <c r="BJ25" s="87">
        <f t="shared" si="18"/>
        <v>-3.8880976902305278E-3</v>
      </c>
      <c r="BK25" s="86">
        <f t="shared" si="19"/>
        <v>6.6164426145228633E-2</v>
      </c>
      <c r="BL25" s="88">
        <f t="shared" si="20"/>
        <v>5794.9432704895753</v>
      </c>
      <c r="BM25" s="85">
        <f t="shared" si="21"/>
        <v>282.80405719962636</v>
      </c>
      <c r="BN25" s="85">
        <f t="shared" si="22"/>
        <v>1516698.0802264041</v>
      </c>
      <c r="BO25" s="83">
        <f t="shared" si="23"/>
        <v>0.18089913705461505</v>
      </c>
      <c r="BP25" s="86">
        <f t="shared" si="24"/>
        <v>7.5528476983264939E-2</v>
      </c>
      <c r="BQ25" s="86">
        <f t="shared" si="25"/>
        <v>-5.4891737643570117E-3</v>
      </c>
      <c r="BR25" s="87">
        <f t="shared" si="26"/>
        <v>-3.890671930986858E-3</v>
      </c>
      <c r="BS25" s="86">
        <f t="shared" si="27"/>
        <v>6.6148631287921075E-2</v>
      </c>
      <c r="BT25" s="85">
        <f t="shared" si="28"/>
        <v>5794.9441863986021</v>
      </c>
      <c r="BU25" s="84">
        <f t="shared" si="29"/>
        <v>282.80401250156189</v>
      </c>
      <c r="BV25" s="83">
        <f t="shared" si="30"/>
        <v>3.297006364733686</v>
      </c>
    </row>
    <row r="26" spans="2:74" x14ac:dyDescent="0.25">
      <c r="B26" s="99">
        <v>19</v>
      </c>
      <c r="C26" s="98">
        <v>45238.3745486111</v>
      </c>
      <c r="D26" s="73">
        <v>182.32026999999999</v>
      </c>
      <c r="E26" s="73">
        <v>0.96997063535911698</v>
      </c>
      <c r="F26" s="71">
        <v>19.887430116973999</v>
      </c>
      <c r="G26" s="71">
        <v>35.438711411860297</v>
      </c>
      <c r="H26" s="92">
        <f t="shared" si="0"/>
        <v>3.296304392574569</v>
      </c>
      <c r="I26" s="73">
        <v>42.098542645266299</v>
      </c>
      <c r="J26" s="75">
        <v>1.8168648271775301E-5</v>
      </c>
      <c r="K26" s="74">
        <v>59941</v>
      </c>
      <c r="L26" s="73">
        <v>328.76761316775099</v>
      </c>
      <c r="M26" s="71">
        <v>99.804268710366202</v>
      </c>
      <c r="N26" s="73">
        <v>3.28767613167751</v>
      </c>
      <c r="O26" s="71">
        <f t="shared" si="1"/>
        <v>-0.26175558654399167</v>
      </c>
      <c r="Q26" s="97">
        <f t="shared" si="2"/>
        <v>19.887430116973999</v>
      </c>
      <c r="R26" s="97">
        <f t="shared" si="3"/>
        <v>36.408682047219415</v>
      </c>
      <c r="S26" s="67">
        <v>42.099517517754002</v>
      </c>
      <c r="T26" s="67">
        <v>355.60158202660801</v>
      </c>
      <c r="U26" s="67">
        <v>1.4621755894390001</v>
      </c>
      <c r="V26" s="67">
        <v>93.52</v>
      </c>
      <c r="W26" s="67">
        <v>44.7</v>
      </c>
      <c r="X26" s="67">
        <f t="shared" si="4"/>
        <v>2.2350000000000002E-2</v>
      </c>
      <c r="Y26" s="67">
        <v>1</v>
      </c>
      <c r="Z26" s="67">
        <f t="shared" si="5"/>
        <v>0.99931849295792319</v>
      </c>
      <c r="AA26" s="96">
        <f t="shared" si="6"/>
        <v>1.0025761310675514</v>
      </c>
      <c r="AB26" s="96">
        <f t="shared" si="7"/>
        <v>3.2938992698511522</v>
      </c>
      <c r="AC26" s="67">
        <f t="shared" si="8"/>
        <v>-7.2964218014412149E-2</v>
      </c>
      <c r="AD26" s="95">
        <f t="shared" si="9"/>
        <v>3.296304392574569</v>
      </c>
      <c r="AE26" s="199"/>
      <c r="AF26" s="199"/>
      <c r="AG26" s="200"/>
      <c r="AH26" s="200"/>
      <c r="AI26" s="200"/>
      <c r="AJ26" s="200"/>
      <c r="AK26" s="76"/>
      <c r="AL26" s="76"/>
      <c r="AM26" s="95">
        <f t="shared" si="10"/>
        <v>3.2961456163003717</v>
      </c>
      <c r="AN26" s="95">
        <f t="shared" si="11"/>
        <v>-4.81679648745169E-3</v>
      </c>
      <c r="AO26" s="95">
        <f t="shared" si="12"/>
        <v>3.296304392574569</v>
      </c>
      <c r="AP26" s="199"/>
      <c r="AQ26" s="199"/>
      <c r="AR26" s="200"/>
      <c r="AS26" s="200"/>
      <c r="AT26" s="200"/>
      <c r="AU26" s="200"/>
      <c r="AW26" s="85">
        <v>19.777343121982</v>
      </c>
      <c r="AX26" s="85">
        <v>35.3115907609236</v>
      </c>
      <c r="AY26" s="92">
        <v>282.56609152848301</v>
      </c>
      <c r="AZ26" s="92">
        <v>41.968395716601002</v>
      </c>
      <c r="BA26" s="94">
        <v>1.8161353811635302E-5</v>
      </c>
      <c r="BB26" s="93">
        <v>82983</v>
      </c>
      <c r="BC26" s="92">
        <v>455.14961117598199</v>
      </c>
      <c r="BD26" s="91">
        <f t="shared" si="13"/>
        <v>1515363.5765446231</v>
      </c>
      <c r="BE26" s="90">
        <v>5798.78</v>
      </c>
      <c r="BF26" s="89">
        <f t="shared" si="14"/>
        <v>282.56609152848279</v>
      </c>
      <c r="BG26" s="83">
        <f t="shared" si="15"/>
        <v>0.18051684428612438</v>
      </c>
      <c r="BH26" s="86">
        <f t="shared" si="16"/>
        <v>7.5551288921113666E-2</v>
      </c>
      <c r="BI26" s="86">
        <f t="shared" si="17"/>
        <v>-5.4943608154460035E-3</v>
      </c>
      <c r="BJ26" s="87">
        <f t="shared" si="18"/>
        <v>-3.8873600772435382E-3</v>
      </c>
      <c r="BK26" s="86">
        <f t="shared" si="19"/>
        <v>6.6169568028424122E-2</v>
      </c>
      <c r="BL26" s="88">
        <f t="shared" si="20"/>
        <v>5794.9429723230814</v>
      </c>
      <c r="BM26" s="85">
        <f t="shared" si="21"/>
        <v>282.75318809162957</v>
      </c>
      <c r="BN26" s="85">
        <f t="shared" si="22"/>
        <v>1516366.9500051672</v>
      </c>
      <c r="BO26" s="83">
        <f t="shared" si="23"/>
        <v>0.18080431018673548</v>
      </c>
      <c r="BP26" s="86">
        <f t="shared" si="24"/>
        <v>7.5534139023012842E-2</v>
      </c>
      <c r="BQ26" s="86">
        <f t="shared" si="25"/>
        <v>-5.4904244352964654E-3</v>
      </c>
      <c r="BR26" s="87">
        <f t="shared" si="26"/>
        <v>-3.8899340297876392E-3</v>
      </c>
      <c r="BS26" s="86">
        <f t="shared" si="27"/>
        <v>6.615378055792874E-2</v>
      </c>
      <c r="BT26" s="85">
        <f t="shared" si="28"/>
        <v>5794.9438878037627</v>
      </c>
      <c r="BU26" s="84">
        <f t="shared" si="29"/>
        <v>282.75314342250311</v>
      </c>
      <c r="BV26" s="83">
        <f t="shared" si="30"/>
        <v>3.296304392574569</v>
      </c>
    </row>
    <row r="27" spans="2:74" x14ac:dyDescent="0.25">
      <c r="B27" s="99">
        <v>20</v>
      </c>
      <c r="C27" s="98">
        <v>45238.377002314803</v>
      </c>
      <c r="D27" s="73">
        <v>182.86705000000001</v>
      </c>
      <c r="E27" s="73">
        <v>0.96995974725274603</v>
      </c>
      <c r="F27" s="71">
        <v>19.895009026461999</v>
      </c>
      <c r="G27" s="71">
        <v>35.433813486171502</v>
      </c>
      <c r="H27" s="92">
        <f t="shared" si="0"/>
        <v>3.295995549384557</v>
      </c>
      <c r="I27" s="73">
        <v>42.091666059128002</v>
      </c>
      <c r="J27" s="75">
        <v>1.8168885288964701E-5</v>
      </c>
      <c r="K27" s="74">
        <v>60179</v>
      </c>
      <c r="L27" s="73">
        <v>329.08607646921598</v>
      </c>
      <c r="M27" s="71">
        <v>99.910308131171803</v>
      </c>
      <c r="N27" s="73">
        <v>3.2908607646921602</v>
      </c>
      <c r="O27" s="71">
        <f t="shared" si="1"/>
        <v>-0.15578858088432795</v>
      </c>
      <c r="Q27" s="97">
        <f t="shared" si="2"/>
        <v>19.895009026461999</v>
      </c>
      <c r="R27" s="97">
        <f t="shared" si="3"/>
        <v>36.403773233424246</v>
      </c>
      <c r="S27" s="67">
        <v>42.092640546912001</v>
      </c>
      <c r="T27" s="67">
        <v>355.60530876779302</v>
      </c>
      <c r="U27" s="67">
        <v>1.462164522066</v>
      </c>
      <c r="V27" s="67">
        <v>93.52</v>
      </c>
      <c r="W27" s="67">
        <v>44.7</v>
      </c>
      <c r="X27" s="67">
        <f t="shared" si="4"/>
        <v>2.2350000000000002E-2</v>
      </c>
      <c r="Y27" s="67">
        <v>1</v>
      </c>
      <c r="Z27" s="67">
        <f t="shared" si="5"/>
        <v>0.99931850723249183</v>
      </c>
      <c r="AA27" s="96">
        <f t="shared" si="6"/>
        <v>1.0025757519817884</v>
      </c>
      <c r="AB27" s="96">
        <f t="shared" si="7"/>
        <v>3.297088731385263</v>
      </c>
      <c r="AC27" s="67">
        <f t="shared" si="8"/>
        <v>3.3166974418706238E-2</v>
      </c>
      <c r="AD27" s="95">
        <f t="shared" si="9"/>
        <v>3.295995549384557</v>
      </c>
      <c r="AE27" s="199"/>
      <c r="AF27" s="199"/>
      <c r="AG27" s="200"/>
      <c r="AH27" s="200"/>
      <c r="AI27" s="200"/>
      <c r="AJ27" s="200"/>
      <c r="AK27" s="76"/>
      <c r="AL27" s="76"/>
      <c r="AM27" s="95">
        <f t="shared" si="10"/>
        <v>3.2993372058286057</v>
      </c>
      <c r="AN27" s="95">
        <f t="shared" si="11"/>
        <v>0.1013853445485593</v>
      </c>
      <c r="AO27" s="95">
        <f t="shared" si="12"/>
        <v>3.295995549384557</v>
      </c>
      <c r="AP27" s="199"/>
      <c r="AQ27" s="199"/>
      <c r="AR27" s="200"/>
      <c r="AS27" s="200"/>
      <c r="AT27" s="200"/>
      <c r="AU27" s="200"/>
      <c r="AW27" s="85">
        <v>19.787571185914</v>
      </c>
      <c r="AX27" s="85">
        <v>35.306485958482199</v>
      </c>
      <c r="AY27" s="92">
        <v>282.59030854460298</v>
      </c>
      <c r="AZ27" s="92">
        <v>41.960866376999498</v>
      </c>
      <c r="BA27" s="94">
        <v>1.8161703201674802E-5</v>
      </c>
      <c r="BB27" s="93">
        <v>83239</v>
      </c>
      <c r="BC27" s="92">
        <v>455.188619272854</v>
      </c>
      <c r="BD27" s="91">
        <f t="shared" si="13"/>
        <v>1515192.4125953915</v>
      </c>
      <c r="BE27" s="90">
        <v>5798.78</v>
      </c>
      <c r="BF27" s="89">
        <f t="shared" si="14"/>
        <v>282.59030854460326</v>
      </c>
      <c r="BG27" s="83">
        <f t="shared" si="15"/>
        <v>0.1804677869124956</v>
      </c>
      <c r="BH27" s="86">
        <f t="shared" si="16"/>
        <v>7.5554213455818323E-2</v>
      </c>
      <c r="BI27" s="86">
        <f t="shared" si="17"/>
        <v>-5.494836791466836E-3</v>
      </c>
      <c r="BJ27" s="87">
        <f t="shared" si="18"/>
        <v>-3.8875439102599957E-3</v>
      </c>
      <c r="BK27" s="86">
        <f t="shared" si="19"/>
        <v>6.6171832754091484E-2</v>
      </c>
      <c r="BL27" s="88">
        <f t="shared" si="20"/>
        <v>5794.9428409966222</v>
      </c>
      <c r="BM27" s="85">
        <f t="shared" si="21"/>
        <v>282.77742755102867</v>
      </c>
      <c r="BN27" s="85">
        <f t="shared" si="22"/>
        <v>1516195.7070829074</v>
      </c>
      <c r="BO27" s="83">
        <f t="shared" si="23"/>
        <v>0.18075526265519806</v>
      </c>
      <c r="BP27" s="86">
        <f t="shared" si="24"/>
        <v>7.5537066684426724E-2</v>
      </c>
      <c r="BQ27" s="86">
        <f t="shared" si="25"/>
        <v>-5.4908999592225725E-3</v>
      </c>
      <c r="BR27" s="87">
        <f t="shared" si="26"/>
        <v>-3.8901180726849892E-3</v>
      </c>
      <c r="BS27" s="86">
        <f t="shared" si="27"/>
        <v>6.6156048652519159E-2</v>
      </c>
      <c r="BT27" s="85">
        <f t="shared" si="28"/>
        <v>5794.9437562819476</v>
      </c>
      <c r="BU27" s="84">
        <f t="shared" si="29"/>
        <v>282.77738288760469</v>
      </c>
      <c r="BV27" s="83">
        <f t="shared" si="30"/>
        <v>3.295995549384557</v>
      </c>
    </row>
    <row r="28" spans="2:74" x14ac:dyDescent="0.25">
      <c r="B28" s="99">
        <v>22</v>
      </c>
      <c r="C28" s="98">
        <v>45238.385034722203</v>
      </c>
      <c r="D28" s="73">
        <v>182.73706999999999</v>
      </c>
      <c r="E28" s="73">
        <v>0.96997082417582503</v>
      </c>
      <c r="F28" s="71">
        <v>19.744732796632999</v>
      </c>
      <c r="G28" s="71">
        <v>35.388845518229402</v>
      </c>
      <c r="H28" s="92">
        <f t="shared" si="0"/>
        <v>1.599740094939077</v>
      </c>
      <c r="I28" s="73">
        <v>42.063082633173202</v>
      </c>
      <c r="J28" s="75">
        <v>1.8161422898324E-5</v>
      </c>
      <c r="K28" s="74">
        <v>29209</v>
      </c>
      <c r="L28" s="73">
        <v>159.84167853846</v>
      </c>
      <c r="M28" s="71">
        <v>99.984912805336407</v>
      </c>
      <c r="N28" s="73">
        <v>1.5984167853846001</v>
      </c>
      <c r="O28" s="71">
        <f t="shared" si="1"/>
        <v>-8.2720284292636878E-2</v>
      </c>
      <c r="Q28" s="97">
        <f t="shared" si="2"/>
        <v>19.744732796632999</v>
      </c>
      <c r="R28" s="97">
        <f t="shared" si="3"/>
        <v>36.358816342405227</v>
      </c>
      <c r="S28" s="67">
        <v>42.064057915329997</v>
      </c>
      <c r="T28" s="67">
        <v>355.49882996064798</v>
      </c>
      <c r="U28" s="67">
        <v>1.4621023721849999</v>
      </c>
      <c r="V28" s="67">
        <v>93.52</v>
      </c>
      <c r="W28" s="67">
        <v>44.7</v>
      </c>
      <c r="X28" s="67">
        <f t="shared" si="4"/>
        <v>2.2350000000000002E-2</v>
      </c>
      <c r="Y28" s="67">
        <v>1</v>
      </c>
      <c r="Z28" s="67">
        <f t="shared" si="5"/>
        <v>0.99931809920912373</v>
      </c>
      <c r="AA28" s="96">
        <f t="shared" si="6"/>
        <v>1.0025722716001113</v>
      </c>
      <c r="AB28" s="96">
        <f t="shared" si="7"/>
        <v>1.6014355821392332</v>
      </c>
      <c r="AC28" s="67">
        <f t="shared" si="8"/>
        <v>0.10598516631045556</v>
      </c>
      <c r="AD28" s="95">
        <f t="shared" si="9"/>
        <v>1.599740094939077</v>
      </c>
      <c r="AE28" s="199">
        <f>AVERAGE(AD28:AD30)</f>
        <v>1.5998841822638097</v>
      </c>
      <c r="AF28" s="199">
        <f>AVERAGE(AC28:AC30)</f>
        <v>7.8761591341290002E-2</v>
      </c>
      <c r="AG28" s="200">
        <f>STDEV(AC28:AC30)</f>
        <v>3.6178967559313352E-2</v>
      </c>
      <c r="AH28" s="200">
        <f>AG28*4.303/SQRT(2)</f>
        <v>0.11008103835922246</v>
      </c>
      <c r="AI28" s="200">
        <v>0.25</v>
      </c>
      <c r="AJ28" s="200">
        <f>SQRT(AI28^2+AH28^2)</f>
        <v>0.2731626530224156</v>
      </c>
      <c r="AK28" s="76"/>
      <c r="AL28" s="76"/>
      <c r="AM28" s="95">
        <f t="shared" si="10"/>
        <v>1.6025283474867862</v>
      </c>
      <c r="AN28" s="95">
        <f t="shared" si="11"/>
        <v>0.17429409668046031</v>
      </c>
      <c r="AO28" s="95">
        <f t="shared" si="12"/>
        <v>1.599740094939077</v>
      </c>
      <c r="AP28" s="199">
        <f>AVERAGE(AO28:AO30)</f>
        <v>1.5998841822638097</v>
      </c>
      <c r="AQ28" s="199">
        <f>AVERAGE(AN28:AN30)</f>
        <v>0.14703861489314318</v>
      </c>
      <c r="AR28" s="200">
        <f>STDEV(AN28:AN30)</f>
        <v>3.6216859297954714E-2</v>
      </c>
      <c r="AS28" s="200">
        <f>AR28*4.303/SQRT(2)</f>
        <v>0.11019633081271882</v>
      </c>
      <c r="AT28" s="200">
        <v>0.25</v>
      </c>
      <c r="AU28" s="200">
        <f>SQRT(AT28^2+AS28^2)</f>
        <v>0.27320913477515019</v>
      </c>
      <c r="AW28" s="85">
        <v>19.613334000876002</v>
      </c>
      <c r="AX28" s="85">
        <v>35.369614523920099</v>
      </c>
      <c r="AY28" s="92">
        <v>136.82793111641399</v>
      </c>
      <c r="AZ28" s="92">
        <v>42.061358919445901</v>
      </c>
      <c r="BA28" s="94">
        <v>1.8155286211637301E-5</v>
      </c>
      <c r="BB28" s="93">
        <v>40275</v>
      </c>
      <c r="BC28" s="92">
        <v>220.39863066645401</v>
      </c>
      <c r="BD28" s="91">
        <f t="shared" si="13"/>
        <v>735660.79335623176</v>
      </c>
      <c r="BE28" s="90">
        <v>5798.78</v>
      </c>
      <c r="BF28" s="89">
        <f t="shared" si="14"/>
        <v>136.8279311164132</v>
      </c>
      <c r="BG28" s="83">
        <f t="shared" si="15"/>
        <v>-0.13332238883008882</v>
      </c>
      <c r="BH28" s="86">
        <f t="shared" si="16"/>
        <v>8.183409484176786E-2</v>
      </c>
      <c r="BI28" s="86">
        <f t="shared" si="17"/>
        <v>-1.2319753863534096E-2</v>
      </c>
      <c r="BJ28" s="87">
        <f t="shared" si="18"/>
        <v>-1.8835468154136316E-3</v>
      </c>
      <c r="BK28" s="86">
        <f t="shared" si="19"/>
        <v>6.763079416282014E-2</v>
      </c>
      <c r="BL28" s="88">
        <f t="shared" si="20"/>
        <v>5794.8582390342453</v>
      </c>
      <c r="BM28" s="85">
        <f t="shared" si="21"/>
        <v>136.92053155927869</v>
      </c>
      <c r="BN28" s="85">
        <f t="shared" si="22"/>
        <v>736158.66330652428</v>
      </c>
      <c r="BO28" s="83">
        <f t="shared" si="23"/>
        <v>-0.13302857265666382</v>
      </c>
      <c r="BP28" s="86">
        <f t="shared" si="24"/>
        <v>8.1838230380559665E-2</v>
      </c>
      <c r="BQ28" s="86">
        <f t="shared" si="25"/>
        <v>-1.2310113740305641E-2</v>
      </c>
      <c r="BR28" s="87">
        <f t="shared" si="26"/>
        <v>-1.8848215351864302E-3</v>
      </c>
      <c r="BS28" s="86">
        <f t="shared" si="27"/>
        <v>6.7643295105067586E-2</v>
      </c>
      <c r="BT28" s="85">
        <f t="shared" si="28"/>
        <v>5794.8575141321062</v>
      </c>
      <c r="BU28" s="84">
        <f t="shared" si="29"/>
        <v>136.92054868722116</v>
      </c>
      <c r="BV28" s="83">
        <f t="shared" si="30"/>
        <v>1.599740094939077</v>
      </c>
    </row>
    <row r="29" spans="2:74" x14ac:dyDescent="0.25">
      <c r="B29" s="99">
        <v>23</v>
      </c>
      <c r="C29" s="98">
        <v>45238.387418981503</v>
      </c>
      <c r="D29" s="73">
        <v>183.89760000000001</v>
      </c>
      <c r="E29" s="73">
        <v>0.97004534426229505</v>
      </c>
      <c r="F29" s="71">
        <v>19.854496143026999</v>
      </c>
      <c r="G29" s="71">
        <v>35.394584999821497</v>
      </c>
      <c r="H29" s="92">
        <f t="shared" si="0"/>
        <v>1.6000978240703898</v>
      </c>
      <c r="I29" s="73">
        <v>42.052639127961498</v>
      </c>
      <c r="J29" s="75">
        <v>1.8166349245466001E-5</v>
      </c>
      <c r="K29" s="74">
        <v>29381</v>
      </c>
      <c r="L29" s="73">
        <v>159.768262337301</v>
      </c>
      <c r="M29" s="71">
        <v>99.916650267895506</v>
      </c>
      <c r="N29" s="73">
        <v>1.5976826233730099</v>
      </c>
      <c r="O29" s="71">
        <f t="shared" si="1"/>
        <v>-0.15094081505816956</v>
      </c>
      <c r="Q29" s="97">
        <f t="shared" si="2"/>
        <v>19.854496143026999</v>
      </c>
      <c r="R29" s="97">
        <f t="shared" si="3"/>
        <v>36.364630344083793</v>
      </c>
      <c r="S29" s="67">
        <v>42.053612530445001</v>
      </c>
      <c r="T29" s="67">
        <v>355.57042147617102</v>
      </c>
      <c r="U29" s="67">
        <v>1.462094302548</v>
      </c>
      <c r="V29" s="67">
        <v>93.52</v>
      </c>
      <c r="W29" s="67">
        <v>44.7</v>
      </c>
      <c r="X29" s="67">
        <f t="shared" si="4"/>
        <v>2.2350000000000002E-2</v>
      </c>
      <c r="Y29" s="67">
        <v>1</v>
      </c>
      <c r="Z29" s="67">
        <f t="shared" si="5"/>
        <v>0.99931837358584918</v>
      </c>
      <c r="AA29" s="96">
        <f t="shared" si="6"/>
        <v>1.0025727158168949</v>
      </c>
      <c r="AB29" s="96">
        <f t="shared" si="7"/>
        <v>1.6007011823051516</v>
      </c>
      <c r="AC29" s="67">
        <f t="shared" si="8"/>
        <v>3.7707584229251571E-2</v>
      </c>
      <c r="AD29" s="95">
        <f t="shared" si="9"/>
        <v>1.6000978240703898</v>
      </c>
      <c r="AE29" s="199"/>
      <c r="AF29" s="199"/>
      <c r="AG29" s="200"/>
      <c r="AH29" s="200"/>
      <c r="AI29" s="200"/>
      <c r="AJ29" s="200"/>
      <c r="AK29" s="76"/>
      <c r="AL29" s="76"/>
      <c r="AM29" s="95">
        <f t="shared" si="10"/>
        <v>1.6017930067285397</v>
      </c>
      <c r="AN29" s="95">
        <f t="shared" si="11"/>
        <v>0.10594243880900171</v>
      </c>
      <c r="AO29" s="95">
        <f t="shared" si="12"/>
        <v>1.6000978240703898</v>
      </c>
      <c r="AP29" s="199"/>
      <c r="AQ29" s="199"/>
      <c r="AR29" s="200"/>
      <c r="AS29" s="200"/>
      <c r="AT29" s="200"/>
      <c r="AU29" s="200"/>
      <c r="AW29" s="85">
        <v>19.601579752180999</v>
      </c>
      <c r="AX29" s="85">
        <v>35.374964939937698</v>
      </c>
      <c r="AY29" s="92">
        <v>136.83205234021801</v>
      </c>
      <c r="AZ29" s="92">
        <v>42.069495676446202</v>
      </c>
      <c r="BA29" s="94">
        <v>1.8154876007967801E-5</v>
      </c>
      <c r="BB29" s="93">
        <v>40532</v>
      </c>
      <c r="BC29" s="92">
        <v>220.40526901928001</v>
      </c>
      <c r="BD29" s="91">
        <f t="shared" si="13"/>
        <v>735841.89465965878</v>
      </c>
      <c r="BE29" s="90">
        <v>5798.78</v>
      </c>
      <c r="BF29" s="89">
        <f t="shared" si="14"/>
        <v>136.83205234021779</v>
      </c>
      <c r="BG29" s="83">
        <f t="shared" si="15"/>
        <v>-0.13321548953893364</v>
      </c>
      <c r="BH29" s="86">
        <f t="shared" si="16"/>
        <v>8.1835601061957391E-2</v>
      </c>
      <c r="BI29" s="86">
        <f t="shared" si="17"/>
        <v>-1.2316941801853725E-2</v>
      </c>
      <c r="BJ29" s="87">
        <f t="shared" si="18"/>
        <v>-1.8836867247188657E-3</v>
      </c>
      <c r="BK29" s="86">
        <f t="shared" si="19"/>
        <v>6.7634972535384807E-2</v>
      </c>
      <c r="BL29" s="88">
        <f t="shared" si="20"/>
        <v>5794.8579967396126</v>
      </c>
      <c r="BM29" s="85">
        <f t="shared" si="21"/>
        <v>136.92466129728038</v>
      </c>
      <c r="BN29" s="85">
        <f t="shared" si="22"/>
        <v>736339.91796093876</v>
      </c>
      <c r="BO29" s="83">
        <f t="shared" si="23"/>
        <v>-0.13292165520678575</v>
      </c>
      <c r="BP29" s="86">
        <f t="shared" si="24"/>
        <v>8.1839731871122104E-2</v>
      </c>
      <c r="BQ29" s="86">
        <f t="shared" si="25"/>
        <v>-1.2307303316852876E-2</v>
      </c>
      <c r="BR29" s="87">
        <f t="shared" si="26"/>
        <v>-1.8849616179914971E-3</v>
      </c>
      <c r="BS29" s="86">
        <f t="shared" si="27"/>
        <v>6.7647466936277725E-2</v>
      </c>
      <c r="BT29" s="85">
        <f t="shared" si="28"/>
        <v>5794.8572722167919</v>
      </c>
      <c r="BU29" s="84">
        <f t="shared" si="29"/>
        <v>136.9246784167774</v>
      </c>
      <c r="BV29" s="83">
        <f t="shared" si="30"/>
        <v>1.6000978240703898</v>
      </c>
    </row>
    <row r="30" spans="2:74" x14ac:dyDescent="0.25">
      <c r="B30" s="99">
        <v>24</v>
      </c>
      <c r="C30" s="98">
        <v>45238.389791666697</v>
      </c>
      <c r="D30" s="73">
        <v>182.90935999999999</v>
      </c>
      <c r="E30" s="73">
        <v>0.97007892307692201</v>
      </c>
      <c r="F30" s="71">
        <v>19.797774469160998</v>
      </c>
      <c r="G30" s="71">
        <v>35.382594430211</v>
      </c>
      <c r="H30" s="92">
        <f t="shared" si="0"/>
        <v>1.5998146277819625</v>
      </c>
      <c r="I30" s="73">
        <v>42.047654821114399</v>
      </c>
      <c r="J30" s="75">
        <v>1.8163629804830201E-5</v>
      </c>
      <c r="K30" s="74">
        <v>29234</v>
      </c>
      <c r="L30" s="73">
        <v>159.82779667481199</v>
      </c>
      <c r="M30" s="71">
        <v>99.971572637528098</v>
      </c>
      <c r="N30" s="73">
        <v>1.5982779667481199</v>
      </c>
      <c r="O30" s="71">
        <f t="shared" si="1"/>
        <v>-9.605244302416549E-2</v>
      </c>
      <c r="Q30" s="97">
        <f t="shared" si="2"/>
        <v>19.797774469160998</v>
      </c>
      <c r="R30" s="97">
        <f t="shared" si="3"/>
        <v>36.352673353287919</v>
      </c>
      <c r="S30" s="67">
        <v>42.048628763478</v>
      </c>
      <c r="T30" s="67">
        <v>355.531380207513</v>
      </c>
      <c r="U30" s="67">
        <v>1.462080756969</v>
      </c>
      <c r="V30" s="67">
        <v>93.52</v>
      </c>
      <c r="W30" s="67">
        <v>44.7</v>
      </c>
      <c r="X30" s="67">
        <f t="shared" si="4"/>
        <v>2.2350000000000002E-2</v>
      </c>
      <c r="Y30" s="67">
        <v>1</v>
      </c>
      <c r="Z30" s="67">
        <f t="shared" si="5"/>
        <v>0.99931822397949399</v>
      </c>
      <c r="AA30" s="96">
        <f t="shared" si="6"/>
        <v>1.0025717877871403</v>
      </c>
      <c r="AB30" s="96">
        <f t="shared" si="7"/>
        <v>1.6012959285178214</v>
      </c>
      <c r="AC30" s="67">
        <f t="shared" si="8"/>
        <v>9.25920234841629E-2</v>
      </c>
      <c r="AD30" s="95">
        <f t="shared" si="9"/>
        <v>1.5998146277819625</v>
      </c>
      <c r="AE30" s="199"/>
      <c r="AF30" s="199"/>
      <c r="AG30" s="200"/>
      <c r="AH30" s="200"/>
      <c r="AI30" s="200"/>
      <c r="AJ30" s="200"/>
      <c r="AK30" s="76"/>
      <c r="AL30" s="76"/>
      <c r="AM30" s="95">
        <f t="shared" si="10"/>
        <v>1.6023883985034582</v>
      </c>
      <c r="AN30" s="95">
        <f t="shared" si="11"/>
        <v>0.16087930918996754</v>
      </c>
      <c r="AO30" s="95">
        <f t="shared" si="12"/>
        <v>1.5998146277819625</v>
      </c>
      <c r="AP30" s="199"/>
      <c r="AQ30" s="199"/>
      <c r="AR30" s="200"/>
      <c r="AS30" s="200"/>
      <c r="AT30" s="200"/>
      <c r="AU30" s="200"/>
      <c r="AW30" s="85">
        <v>19.599637498020002</v>
      </c>
      <c r="AX30" s="85">
        <v>35.363027092731699</v>
      </c>
      <c r="AY30" s="92">
        <v>136.851783513116</v>
      </c>
      <c r="AZ30" s="92">
        <v>42.055986786773197</v>
      </c>
      <c r="BA30" s="94">
        <v>1.8154559544096101E-5</v>
      </c>
      <c r="BB30" s="93">
        <v>40320</v>
      </c>
      <c r="BC30" s="92">
        <v>220.437051444497</v>
      </c>
      <c r="BD30" s="91">
        <f t="shared" si="13"/>
        <v>735724.50822142197</v>
      </c>
      <c r="BE30" s="90">
        <v>5798.78</v>
      </c>
      <c r="BF30" s="89">
        <f t="shared" si="14"/>
        <v>136.85178351311643</v>
      </c>
      <c r="BG30" s="83">
        <f t="shared" si="15"/>
        <v>-0.13328477663652546</v>
      </c>
      <c r="BH30" s="86">
        <f t="shared" si="16"/>
        <v>8.1834625007433021E-2</v>
      </c>
      <c r="BI30" s="86">
        <f t="shared" si="17"/>
        <v>-1.2318842683777802E-2</v>
      </c>
      <c r="BJ30" s="87">
        <f t="shared" si="18"/>
        <v>-1.8839704629652252E-3</v>
      </c>
      <c r="BK30" s="86">
        <f t="shared" si="19"/>
        <v>6.7631811860689992E-2</v>
      </c>
      <c r="BL30" s="88">
        <f t="shared" si="20"/>
        <v>5794.8581800201846</v>
      </c>
      <c r="BM30" s="85">
        <f t="shared" si="21"/>
        <v>136.94440149308798</v>
      </c>
      <c r="BN30" s="85">
        <f t="shared" si="22"/>
        <v>736222.42878933693</v>
      </c>
      <c r="BO30" s="83">
        <f t="shared" si="23"/>
        <v>-0.13299095604030348</v>
      </c>
      <c r="BP30" s="86">
        <f t="shared" si="24"/>
        <v>8.183875885487446E-2</v>
      </c>
      <c r="BQ30" s="86">
        <f t="shared" si="25"/>
        <v>-1.2309203320679973E-2</v>
      </c>
      <c r="BR30" s="87">
        <f t="shared" si="26"/>
        <v>-1.8852454886472191E-3</v>
      </c>
      <c r="BS30" s="86">
        <f t="shared" si="27"/>
        <v>6.7644310045547273E-2</v>
      </c>
      <c r="BT30" s="85">
        <f t="shared" si="28"/>
        <v>5794.857455277941</v>
      </c>
      <c r="BU30" s="84">
        <f t="shared" si="29"/>
        <v>136.94441862023797</v>
      </c>
      <c r="BV30" s="83">
        <f t="shared" si="30"/>
        <v>1.5998146277819625</v>
      </c>
    </row>
    <row r="31" spans="2:74" x14ac:dyDescent="0.25">
      <c r="B31" s="99">
        <v>26</v>
      </c>
      <c r="C31" s="98">
        <v>45238.3953819444</v>
      </c>
      <c r="D31" s="73">
        <v>182.91861</v>
      </c>
      <c r="E31" s="73">
        <v>0.97020532967032802</v>
      </c>
      <c r="F31" s="71">
        <v>19.809864016195998</v>
      </c>
      <c r="G31" s="71">
        <v>35.384386142010896</v>
      </c>
      <c r="H31" s="92">
        <f t="shared" si="0"/>
        <v>0.59230243061506471</v>
      </c>
      <c r="I31" s="73">
        <v>42.0479865076843</v>
      </c>
      <c r="J31" s="75">
        <v>1.8164197208655799E-5</v>
      </c>
      <c r="K31" s="74">
        <v>10831</v>
      </c>
      <c r="L31" s="73">
        <v>59.2121271859654</v>
      </c>
      <c r="M31" s="71">
        <v>100.002372082706</v>
      </c>
      <c r="N31" s="73">
        <v>0.59212127185965402</v>
      </c>
      <c r="O31" s="71">
        <f t="shared" si="1"/>
        <v>-3.0585516122662592E-2</v>
      </c>
      <c r="Q31" s="97">
        <f t="shared" si="2"/>
        <v>19.809864016195998</v>
      </c>
      <c r="R31" s="97">
        <f t="shared" si="3"/>
        <v>36.354591471681225</v>
      </c>
      <c r="S31" s="67">
        <v>42.048960304571999</v>
      </c>
      <c r="T31" s="67">
        <v>355.53955751723402</v>
      </c>
      <c r="U31" s="67">
        <v>1.462082397234</v>
      </c>
      <c r="V31" s="67">
        <v>93.52</v>
      </c>
      <c r="W31" s="67">
        <v>44.7</v>
      </c>
      <c r="X31" s="67">
        <f t="shared" si="4"/>
        <v>2.2350000000000002E-2</v>
      </c>
      <c r="Y31" s="67">
        <v>1</v>
      </c>
      <c r="Z31" s="67">
        <f t="shared" si="5"/>
        <v>0.99931825531906615</v>
      </c>
      <c r="AA31" s="96">
        <f t="shared" si="6"/>
        <v>1.0025719264594974</v>
      </c>
      <c r="AB31" s="96">
        <f t="shared" si="7"/>
        <v>0.59323945047465265</v>
      </c>
      <c r="AC31" s="67">
        <f t="shared" si="8"/>
        <v>0.15819956345863886</v>
      </c>
      <c r="AD31" s="95">
        <f t="shared" si="9"/>
        <v>0.59230243061506471</v>
      </c>
      <c r="AE31" s="199">
        <f>AVERAGE(AD31:AD33)</f>
        <v>0.59238259129623916</v>
      </c>
      <c r="AF31" s="199">
        <f>AVERAGE(AC31:AC33)</f>
        <v>0.1684205327270458</v>
      </c>
      <c r="AG31" s="200">
        <f>STDEV(AC31:AC33)</f>
        <v>2.1690497080509127E-2</v>
      </c>
      <c r="AH31" s="200">
        <f>AG31*4.303/SQRT(2)</f>
        <v>6.599725205633937E-2</v>
      </c>
      <c r="AI31" s="200">
        <v>0.25</v>
      </c>
      <c r="AJ31" s="200">
        <f>SQRT(AI31^2+AH31^2)</f>
        <v>0.25856457081160211</v>
      </c>
      <c r="AK31" s="76"/>
      <c r="AL31" s="76"/>
      <c r="AM31" s="95">
        <f t="shared" si="10"/>
        <v>0.5936441642259811</v>
      </c>
      <c r="AN31" s="95">
        <f t="shared" si="11"/>
        <v>0.22652846612888083</v>
      </c>
      <c r="AO31" s="95">
        <f t="shared" si="12"/>
        <v>0.59230243061506471</v>
      </c>
      <c r="AP31" s="199">
        <f>AVERAGE(AO31:AO33)</f>
        <v>0.59238259129623916</v>
      </c>
      <c r="AQ31" s="199">
        <f>AVERAGE(AN31:AN33)</f>
        <v>0.23675915803346367</v>
      </c>
      <c r="AR31" s="200">
        <f>STDEV(AN31:AN33)</f>
        <v>2.1710092873913241E-2</v>
      </c>
      <c r="AS31" s="200">
        <f>AR31*4.303/SQRT(2)</f>
        <v>6.6056875794409317E-2</v>
      </c>
      <c r="AT31" s="200">
        <v>0.25</v>
      </c>
      <c r="AU31" s="200">
        <f>SQRT(AT31^2+AS31^2)</f>
        <v>0.25857979588459346</v>
      </c>
      <c r="AW31" s="85">
        <v>19.575241692260999</v>
      </c>
      <c r="AX31" s="85">
        <v>35.395284441186099</v>
      </c>
      <c r="AY31" s="92">
        <v>50.634635715440297</v>
      </c>
      <c r="AZ31" s="92">
        <v>42.097390167685298</v>
      </c>
      <c r="BA31" s="94">
        <v>1.81541186526687E-5</v>
      </c>
      <c r="BB31" s="93">
        <v>14919</v>
      </c>
      <c r="BC31" s="92">
        <v>81.560864692772398</v>
      </c>
      <c r="BD31" s="91">
        <f t="shared" si="13"/>
        <v>272489.8586626082</v>
      </c>
      <c r="BE31" s="90">
        <v>5798.78</v>
      </c>
      <c r="BF31" s="89">
        <f t="shared" si="14"/>
        <v>50.634635715440254</v>
      </c>
      <c r="BG31" s="83">
        <f t="shared" si="15"/>
        <v>-0.56464965635550735</v>
      </c>
      <c r="BH31" s="86">
        <f t="shared" si="16"/>
        <v>7.5798659269765978E-2</v>
      </c>
      <c r="BI31" s="86">
        <f t="shared" si="17"/>
        <v>-4.2158713648336385E-2</v>
      </c>
      <c r="BJ31" s="87">
        <f t="shared" si="18"/>
        <v>-6.9712675009530147E-4</v>
      </c>
      <c r="BK31" s="86">
        <f t="shared" si="19"/>
        <v>3.2942818871334288E-2</v>
      </c>
      <c r="BL31" s="88">
        <f t="shared" si="20"/>
        <v>5796.8697184078528</v>
      </c>
      <c r="BM31" s="85">
        <f t="shared" si="21"/>
        <v>50.651321688600071</v>
      </c>
      <c r="BN31" s="85">
        <f t="shared" si="22"/>
        <v>272579.65408433334</v>
      </c>
      <c r="BO31" s="83">
        <f t="shared" si="23"/>
        <v>-0.56450656394033394</v>
      </c>
      <c r="BP31" s="86">
        <f t="shared" si="24"/>
        <v>7.5794348256275901E-2</v>
      </c>
      <c r="BQ31" s="86">
        <f t="shared" si="25"/>
        <v>-4.2140174711085047E-2</v>
      </c>
      <c r="BR31" s="87">
        <f t="shared" si="26"/>
        <v>-6.9735647897705842E-4</v>
      </c>
      <c r="BS31" s="86">
        <f t="shared" si="27"/>
        <v>3.2956817066213798E-2</v>
      </c>
      <c r="BT31" s="85">
        <f t="shared" si="28"/>
        <v>5796.8689066833276</v>
      </c>
      <c r="BU31" s="84">
        <f t="shared" si="29"/>
        <v>50.651328781208285</v>
      </c>
      <c r="BV31" s="83">
        <f t="shared" si="30"/>
        <v>0.59230243061506471</v>
      </c>
    </row>
    <row r="32" spans="2:74" x14ac:dyDescent="0.25">
      <c r="B32" s="99">
        <v>27</v>
      </c>
      <c r="C32" s="98">
        <v>45238.3977199074</v>
      </c>
      <c r="D32" s="73">
        <v>183.07103000000001</v>
      </c>
      <c r="E32" s="73">
        <v>0.97023480769230697</v>
      </c>
      <c r="F32" s="71">
        <v>19.809900201293001</v>
      </c>
      <c r="G32" s="71">
        <v>35.385014186852302</v>
      </c>
      <c r="H32" s="92">
        <f t="shared" si="0"/>
        <v>0.5926007409191133</v>
      </c>
      <c r="I32" s="73">
        <v>42.048743168555902</v>
      </c>
      <c r="J32" s="75">
        <v>1.8164211557239599E-5</v>
      </c>
      <c r="K32" s="74">
        <v>10845</v>
      </c>
      <c r="L32" s="73">
        <v>59.239301816349602</v>
      </c>
      <c r="M32" s="71">
        <v>99.997921923560696</v>
      </c>
      <c r="N32" s="73">
        <v>0.59239301816349599</v>
      </c>
      <c r="O32" s="71">
        <f t="shared" si="1"/>
        <v>-3.5052733024791352E-2</v>
      </c>
      <c r="Q32" s="97">
        <f t="shared" si="2"/>
        <v>19.809900201293001</v>
      </c>
      <c r="R32" s="97">
        <f t="shared" si="3"/>
        <v>36.35524899454461</v>
      </c>
      <c r="S32" s="67">
        <v>42.049716996362001</v>
      </c>
      <c r="T32" s="67">
        <v>355.53973108003402</v>
      </c>
      <c r="U32" s="67">
        <v>1.462083691838</v>
      </c>
      <c r="V32" s="67">
        <v>93.52</v>
      </c>
      <c r="W32" s="67">
        <v>44.7</v>
      </c>
      <c r="X32" s="67">
        <f t="shared" si="4"/>
        <v>2.2350000000000002E-2</v>
      </c>
      <c r="Y32" s="67">
        <v>1</v>
      </c>
      <c r="Z32" s="67">
        <f t="shared" si="5"/>
        <v>0.99931825598422286</v>
      </c>
      <c r="AA32" s="96">
        <f t="shared" si="6"/>
        <v>1.0025719750680264</v>
      </c>
      <c r="AB32" s="96">
        <f t="shared" si="7"/>
        <v>0.59351173912269706</v>
      </c>
      <c r="AC32" s="67">
        <f t="shared" si="8"/>
        <v>0.1537288330370318</v>
      </c>
      <c r="AD32" s="95">
        <f t="shared" si="9"/>
        <v>0.5926007409191133</v>
      </c>
      <c r="AE32" s="199"/>
      <c r="AF32" s="199"/>
      <c r="AG32" s="200"/>
      <c r="AH32" s="200"/>
      <c r="AI32" s="200"/>
      <c r="AJ32" s="200"/>
      <c r="AK32" s="76"/>
      <c r="AL32" s="76"/>
      <c r="AM32" s="95">
        <f t="shared" si="10"/>
        <v>0.59391663823668539</v>
      </c>
      <c r="AN32" s="95">
        <f t="shared" si="11"/>
        <v>0.22205461902243939</v>
      </c>
      <c r="AO32" s="95">
        <f t="shared" si="12"/>
        <v>0.5926007409191133</v>
      </c>
      <c r="AP32" s="199"/>
      <c r="AQ32" s="199"/>
      <c r="AR32" s="200"/>
      <c r="AS32" s="200"/>
      <c r="AT32" s="200"/>
      <c r="AU32" s="200"/>
      <c r="AW32" s="85">
        <v>19.542282582575002</v>
      </c>
      <c r="AX32" s="85">
        <v>35.395532291814703</v>
      </c>
      <c r="AY32" s="92">
        <v>50.653519277581402</v>
      </c>
      <c r="AZ32" s="92">
        <v>42.102882762985097</v>
      </c>
      <c r="BA32" s="94">
        <v>1.8152678308821998E-5</v>
      </c>
      <c r="BB32" s="93">
        <v>14937</v>
      </c>
      <c r="BC32" s="92">
        <v>81.591281810125807</v>
      </c>
      <c r="BD32" s="91">
        <f t="shared" si="13"/>
        <v>272648.67825177073</v>
      </c>
      <c r="BE32" s="90">
        <v>5798.78</v>
      </c>
      <c r="BF32" s="89">
        <f t="shared" si="14"/>
        <v>50.65351927758131</v>
      </c>
      <c r="BG32" s="83">
        <f t="shared" si="15"/>
        <v>-0.56439660334797892</v>
      </c>
      <c r="BH32" s="86">
        <f t="shared" si="16"/>
        <v>7.5791041736188752E-2</v>
      </c>
      <c r="BI32" s="86">
        <f t="shared" si="17"/>
        <v>-4.2132237078257771E-2</v>
      </c>
      <c r="BJ32" s="87">
        <f t="shared" si="18"/>
        <v>-6.9747240639223018E-4</v>
      </c>
      <c r="BK32" s="86">
        <f t="shared" si="19"/>
        <v>3.2961332251538751E-2</v>
      </c>
      <c r="BL32" s="88">
        <f t="shared" si="20"/>
        <v>5796.8686448576636</v>
      </c>
      <c r="BM32" s="85">
        <f t="shared" si="21"/>
        <v>50.670220857430714</v>
      </c>
      <c r="BN32" s="85">
        <f t="shared" si="22"/>
        <v>272738.57652015565</v>
      </c>
      <c r="BO32" s="83">
        <f t="shared" si="23"/>
        <v>-0.5642534305037139</v>
      </c>
      <c r="BP32" s="86">
        <f t="shared" si="24"/>
        <v>7.5786744742444526E-2</v>
      </c>
      <c r="BQ32" s="86">
        <f t="shared" si="25"/>
        <v>-4.2113700525713421E-2</v>
      </c>
      <c r="BR32" s="87">
        <f t="shared" si="26"/>
        <v>-6.9770237839129857E-4</v>
      </c>
      <c r="BS32" s="86">
        <f t="shared" si="27"/>
        <v>3.2975341838339806E-2</v>
      </c>
      <c r="BT32" s="85">
        <f t="shared" si="28"/>
        <v>5796.8678324725461</v>
      </c>
      <c r="BU32" s="84">
        <f t="shared" si="29"/>
        <v>50.670227958460877</v>
      </c>
      <c r="BV32" s="83">
        <f t="shared" si="30"/>
        <v>0.5926007409191133</v>
      </c>
    </row>
    <row r="33" spans="1:74" x14ac:dyDescent="0.25">
      <c r="B33" s="99">
        <v>28</v>
      </c>
      <c r="C33" s="98">
        <v>45238.4000578704</v>
      </c>
      <c r="D33" s="73">
        <v>181.75781000000001</v>
      </c>
      <c r="E33" s="73">
        <v>0.97030783977900703</v>
      </c>
      <c r="F33" s="71">
        <v>19.7796806841801</v>
      </c>
      <c r="G33" s="71">
        <v>35.374203900272001</v>
      </c>
      <c r="H33" s="92">
        <f t="shared" si="0"/>
        <v>0.59224460235453946</v>
      </c>
      <c r="I33" s="73">
        <v>42.041023433359399</v>
      </c>
      <c r="J33" s="75">
        <v>1.8162677882350499E-5</v>
      </c>
      <c r="K33" s="74">
        <v>10765</v>
      </c>
      <c r="L33" s="73">
        <v>59.227166084362501</v>
      </c>
      <c r="M33" s="71">
        <v>100.03753300350699</v>
      </c>
      <c r="N33" s="73">
        <v>0.59227166084362504</v>
      </c>
      <c r="O33" s="71">
        <f t="shared" si="1"/>
        <v>4.5688029874818266E-3</v>
      </c>
      <c r="Q33" s="97">
        <f t="shared" si="2"/>
        <v>19.7796806841801</v>
      </c>
      <c r="R33" s="97">
        <f t="shared" si="3"/>
        <v>36.344511740051004</v>
      </c>
      <c r="S33" s="67">
        <v>42.041997338922997</v>
      </c>
      <c r="T33" s="67">
        <v>355.51793131276202</v>
      </c>
      <c r="U33" s="67">
        <v>1.462067831867</v>
      </c>
      <c r="V33" s="67">
        <v>93.52</v>
      </c>
      <c r="W33" s="67">
        <v>44.7</v>
      </c>
      <c r="X33" s="67">
        <f t="shared" si="4"/>
        <v>2.2350000000000002E-2</v>
      </c>
      <c r="Y33" s="67">
        <v>1</v>
      </c>
      <c r="Z33" s="67">
        <f t="shared" si="5"/>
        <v>0.99931817243185217</v>
      </c>
      <c r="AA33" s="96">
        <f t="shared" si="6"/>
        <v>1.0025711383893683</v>
      </c>
      <c r="AB33" s="96">
        <f t="shared" si="7"/>
        <v>0.59338960780608085</v>
      </c>
      <c r="AC33" s="67">
        <f t="shared" si="8"/>
        <v>0.19333320168546669</v>
      </c>
      <c r="AD33" s="95">
        <f t="shared" si="9"/>
        <v>0.59224460235453946</v>
      </c>
      <c r="AE33" s="199"/>
      <c r="AF33" s="199"/>
      <c r="AG33" s="200"/>
      <c r="AH33" s="200"/>
      <c r="AI33" s="200"/>
      <c r="AJ33" s="200"/>
      <c r="AK33" s="76"/>
      <c r="AL33" s="76"/>
      <c r="AM33" s="95">
        <f t="shared" si="10"/>
        <v>0.59379447324775503</v>
      </c>
      <c r="AN33" s="95">
        <f t="shared" si="11"/>
        <v>0.26169438894907071</v>
      </c>
      <c r="AO33" s="95">
        <f t="shared" si="12"/>
        <v>0.59224460235453946</v>
      </c>
      <c r="AP33" s="199"/>
      <c r="AQ33" s="199"/>
      <c r="AR33" s="200"/>
      <c r="AS33" s="200"/>
      <c r="AT33" s="200"/>
      <c r="AU33" s="200"/>
      <c r="AW33" s="85">
        <v>19.52495972941</v>
      </c>
      <c r="AX33" s="85">
        <v>35.385639084957099</v>
      </c>
      <c r="AY33" s="92">
        <v>50.633528539886598</v>
      </c>
      <c r="AZ33" s="92">
        <v>42.0942026028317</v>
      </c>
      <c r="BA33" s="94">
        <v>1.8151727541045299E-5</v>
      </c>
      <c r="BB33" s="93">
        <v>14824</v>
      </c>
      <c r="BC33" s="92">
        <v>81.559081285145297</v>
      </c>
      <c r="BD33" s="91">
        <f t="shared" si="13"/>
        <v>272499.15960097982</v>
      </c>
      <c r="BE33" s="90">
        <v>5798.78</v>
      </c>
      <c r="BF33" s="89">
        <f t="shared" si="14"/>
        <v>50.633528539886505</v>
      </c>
      <c r="BG33" s="83">
        <f t="shared" si="15"/>
        <v>-0.56463483276796211</v>
      </c>
      <c r="BH33" s="86">
        <f t="shared" si="16"/>
        <v>7.5798212240784535E-2</v>
      </c>
      <c r="BI33" s="86">
        <f t="shared" si="17"/>
        <v>-4.2163136858732075E-2</v>
      </c>
      <c r="BJ33" s="87">
        <f t="shared" si="18"/>
        <v>-6.9724168888126814E-4</v>
      </c>
      <c r="BK33" s="86">
        <f t="shared" si="19"/>
        <v>3.2937833693171194E-2</v>
      </c>
      <c r="BL33" s="88">
        <f t="shared" si="20"/>
        <v>5796.8700074873668</v>
      </c>
      <c r="BM33" s="85">
        <f t="shared" si="21"/>
        <v>50.650211622355918</v>
      </c>
      <c r="BN33" s="85">
        <f t="shared" si="22"/>
        <v>272588.94449418335</v>
      </c>
      <c r="BO33" s="83">
        <f t="shared" si="23"/>
        <v>-0.56449176201027629</v>
      </c>
      <c r="BP33" s="86">
        <f t="shared" si="24"/>
        <v>7.5793902841961275E-2</v>
      </c>
      <c r="BQ33" s="86">
        <f t="shared" si="25"/>
        <v>-4.2144598714312934E-2</v>
      </c>
      <c r="BR33" s="87">
        <f t="shared" si="26"/>
        <v>-6.9747142085792768E-4</v>
      </c>
      <c r="BS33" s="86">
        <f t="shared" si="27"/>
        <v>3.2951832706790411E-2</v>
      </c>
      <c r="BT33" s="85">
        <f t="shared" si="28"/>
        <v>5796.8691957153651</v>
      </c>
      <c r="BU33" s="84">
        <f t="shared" si="29"/>
        <v>50.650218715223176</v>
      </c>
      <c r="BV33" s="83">
        <f t="shared" si="30"/>
        <v>0.59224460235453946</v>
      </c>
    </row>
    <row r="34" spans="1:74" x14ac:dyDescent="0.25">
      <c r="B34" s="99">
        <v>29</v>
      </c>
      <c r="C34" s="98">
        <v>45238.404097222199</v>
      </c>
      <c r="D34" s="73">
        <v>182.83429000000001</v>
      </c>
      <c r="E34" s="73">
        <v>0.97032175274725296</v>
      </c>
      <c r="F34" s="71">
        <v>19.694667396740002</v>
      </c>
      <c r="G34" s="71">
        <v>35.374775848548303</v>
      </c>
      <c r="H34" s="92">
        <f t="shared" si="0"/>
        <v>0.23506990036347442</v>
      </c>
      <c r="I34" s="73">
        <v>42.0550125464598</v>
      </c>
      <c r="J34" s="75">
        <v>1.8158960739906201E-5</v>
      </c>
      <c r="K34" s="74">
        <v>4311</v>
      </c>
      <c r="L34" s="73">
        <v>23.578728038378401</v>
      </c>
      <c r="M34" s="71">
        <v>100.29422711232399</v>
      </c>
      <c r="N34" s="73">
        <v>0.23578728038378399</v>
      </c>
      <c r="O34" s="71">
        <f t="shared" si="1"/>
        <v>0.30517731925709568</v>
      </c>
      <c r="Q34" s="97">
        <f t="shared" si="2"/>
        <v>19.694667396740002</v>
      </c>
      <c r="R34" s="97">
        <f t="shared" si="3"/>
        <v>36.345097601295556</v>
      </c>
      <c r="S34" s="67">
        <v>42.055988154859001</v>
      </c>
      <c r="T34" s="67">
        <v>355.46363909820099</v>
      </c>
      <c r="U34" s="67">
        <v>1.4620841452169999</v>
      </c>
      <c r="V34" s="67">
        <v>93.52</v>
      </c>
      <c r="W34" s="67">
        <v>44.7</v>
      </c>
      <c r="X34" s="67">
        <f t="shared" si="4"/>
        <v>2.2350000000000002E-2</v>
      </c>
      <c r="Y34" s="67">
        <v>1</v>
      </c>
      <c r="Z34" s="67">
        <f t="shared" si="5"/>
        <v>0.99931796427831943</v>
      </c>
      <c r="AA34" s="96">
        <f t="shared" si="6"/>
        <v>1.0025711826561448</v>
      </c>
      <c r="AB34" s="96">
        <f t="shared" si="7"/>
        <v>0.23623230371607321</v>
      </c>
      <c r="AC34" s="67">
        <f t="shared" si="8"/>
        <v>0.49449263848814146</v>
      </c>
      <c r="AD34" s="95">
        <f t="shared" si="9"/>
        <v>0.23506990036347442</v>
      </c>
      <c r="AE34" s="199">
        <f>AVERAGE(AD34:AD36)</f>
        <v>0.23505069395889699</v>
      </c>
      <c r="AF34" s="199">
        <f>AVERAGE(AC34:AC36)</f>
        <v>0.45429997267946604</v>
      </c>
      <c r="AG34" s="200">
        <f>STDEV(AC34:AC36)</f>
        <v>5.1272837939157129E-2</v>
      </c>
      <c r="AH34" s="200">
        <f>AG34*4.303/SQRT(2)</f>
        <v>0.15600686312325698</v>
      </c>
      <c r="AI34" s="200">
        <v>0.25</v>
      </c>
      <c r="AJ34" s="200">
        <f>SQRT(AI34^2+AH34^2)</f>
        <v>0.29468312021824161</v>
      </c>
      <c r="AK34" s="76"/>
      <c r="AL34" s="76"/>
      <c r="AM34" s="95">
        <f t="shared" si="10"/>
        <v>0.23639353254964632</v>
      </c>
      <c r="AN34" s="95">
        <f t="shared" si="11"/>
        <v>0.56308025150189367</v>
      </c>
      <c r="AO34" s="95">
        <f t="shared" si="12"/>
        <v>0.23506990036347442</v>
      </c>
      <c r="AP34" s="199">
        <f>AVERAGE(AO34:AO36)</f>
        <v>0.23505069395889699</v>
      </c>
      <c r="AQ34" s="199">
        <f>AVERAGE(AN34:AN36)</f>
        <v>0.52287224357160278</v>
      </c>
      <c r="AR34" s="200">
        <f>STDEV(AN34:AN36)</f>
        <v>5.1295420635255329E-2</v>
      </c>
      <c r="AS34" s="200">
        <f>AR34*4.303/SQRT(2)</f>
        <v>0.15607557505184824</v>
      </c>
      <c r="AT34" s="200">
        <v>0.25</v>
      </c>
      <c r="AU34" s="200">
        <f>SQRT(AT34^2+AS34^2)</f>
        <v>0.29471950245575051</v>
      </c>
      <c r="AW34" s="85">
        <v>19.455775749286001</v>
      </c>
      <c r="AX34" s="85">
        <v>35.3903096531307</v>
      </c>
      <c r="AY34" s="92">
        <v>20.098172008287001</v>
      </c>
      <c r="AZ34" s="92">
        <v>42.110498179431403</v>
      </c>
      <c r="BA34" s="94">
        <v>1.81487836185579E-5</v>
      </c>
      <c r="BB34" s="93">
        <v>5919</v>
      </c>
      <c r="BC34" s="92">
        <v>32.373577188392801</v>
      </c>
      <c r="BD34" s="91">
        <f t="shared" si="13"/>
        <v>108223.62237038271</v>
      </c>
      <c r="BE34" s="90">
        <v>5798.78</v>
      </c>
      <c r="BF34" s="89">
        <f t="shared" si="14"/>
        <v>20.098172008286934</v>
      </c>
      <c r="BG34" s="83">
        <f t="shared" si="15"/>
        <v>-0.96567793381925371</v>
      </c>
      <c r="BH34" s="86">
        <f t="shared" si="16"/>
        <v>0.14958681838814547</v>
      </c>
      <c r="BI34" s="86">
        <f t="shared" si="17"/>
        <v>-0.16022019682036953</v>
      </c>
      <c r="BJ34" s="87">
        <f t="shared" si="18"/>
        <v>-2.768304433711235E-4</v>
      </c>
      <c r="BK34" s="86">
        <f t="shared" si="19"/>
        <v>-1.0910208875595184E-2</v>
      </c>
      <c r="BL34" s="88">
        <f t="shared" si="20"/>
        <v>5799.412659010236</v>
      </c>
      <c r="BM34" s="85">
        <f t="shared" si="21"/>
        <v>20.095979494948438</v>
      </c>
      <c r="BN34" s="85">
        <f t="shared" si="22"/>
        <v>108211.81623520338</v>
      </c>
      <c r="BO34" s="83">
        <f t="shared" si="23"/>
        <v>-0.9657253136697912</v>
      </c>
      <c r="BP34" s="86">
        <f t="shared" si="24"/>
        <v>0.14960617189091874</v>
      </c>
      <c r="BQ34" s="86">
        <f t="shared" si="25"/>
        <v>-0.16024745461999124</v>
      </c>
      <c r="BR34" s="87">
        <f t="shared" si="26"/>
        <v>-2.7680024388634727E-4</v>
      </c>
      <c r="BS34" s="86">
        <f t="shared" si="27"/>
        <v>-1.0918082972958846E-2</v>
      </c>
      <c r="BT34" s="85">
        <f t="shared" si="28"/>
        <v>5799.4131156118192</v>
      </c>
      <c r="BU34" s="84">
        <f t="shared" si="29"/>
        <v>20.095977912744189</v>
      </c>
      <c r="BV34" s="83">
        <f t="shared" si="30"/>
        <v>0.23506990036347442</v>
      </c>
    </row>
    <row r="35" spans="1:74" x14ac:dyDescent="0.25">
      <c r="B35" s="99">
        <v>30</v>
      </c>
      <c r="C35" s="98">
        <v>45238.406435185199</v>
      </c>
      <c r="D35" s="73">
        <v>182.91668000000001</v>
      </c>
      <c r="E35" s="73">
        <v>0.97036724175824296</v>
      </c>
      <c r="F35" s="71">
        <v>19.654560958899001</v>
      </c>
      <c r="G35" s="71">
        <v>35.363370231858902</v>
      </c>
      <c r="H35" s="92">
        <f t="shared" si="0"/>
        <v>0.23545286175265623</v>
      </c>
      <c r="I35" s="73">
        <v>42.048115843023503</v>
      </c>
      <c r="J35" s="75">
        <v>1.8156980996762502E-5</v>
      </c>
      <c r="K35" s="74">
        <v>4319</v>
      </c>
      <c r="L35" s="73">
        <v>23.611843381368999</v>
      </c>
      <c r="M35" s="71">
        <v>100.271832977559</v>
      </c>
      <c r="N35" s="73">
        <v>0.23611843381368999</v>
      </c>
      <c r="O35" s="71">
        <f t="shared" si="1"/>
        <v>0.2826774141029339</v>
      </c>
      <c r="Q35" s="97">
        <f t="shared" si="2"/>
        <v>19.654560958899001</v>
      </c>
      <c r="R35" s="97">
        <f t="shared" si="3"/>
        <v>36.333737473617141</v>
      </c>
      <c r="S35" s="67">
        <v>42.049091695309997</v>
      </c>
      <c r="T35" s="67">
        <v>355.435361921859</v>
      </c>
      <c r="U35" s="67">
        <v>1.462068806392</v>
      </c>
      <c r="V35" s="67">
        <v>93.52</v>
      </c>
      <c r="W35" s="67">
        <v>44.7</v>
      </c>
      <c r="X35" s="67">
        <f t="shared" si="4"/>
        <v>2.2350000000000002E-2</v>
      </c>
      <c r="Y35" s="67">
        <v>1</v>
      </c>
      <c r="Z35" s="67">
        <f t="shared" si="5"/>
        <v>0.99931785582734778</v>
      </c>
      <c r="AA35" s="96">
        <f t="shared" si="6"/>
        <v>1.0025702999024386</v>
      </c>
      <c r="AB35" s="96">
        <f t="shared" si="7"/>
        <v>0.23656384819738802</v>
      </c>
      <c r="AC35" s="67">
        <f t="shared" si="8"/>
        <v>0.47185089892807558</v>
      </c>
      <c r="AD35" s="95">
        <f t="shared" si="9"/>
        <v>0.23545286175265623</v>
      </c>
      <c r="AE35" s="199"/>
      <c r="AF35" s="199"/>
      <c r="AG35" s="200"/>
      <c r="AH35" s="200"/>
      <c r="AI35" s="200"/>
      <c r="AJ35" s="200"/>
      <c r="AK35" s="76"/>
      <c r="AL35" s="76"/>
      <c r="AM35" s="95">
        <f t="shared" si="10"/>
        <v>0.23672532900108528</v>
      </c>
      <c r="AN35" s="95">
        <f t="shared" si="11"/>
        <v>0.54043397007668748</v>
      </c>
      <c r="AO35" s="95">
        <f t="shared" si="12"/>
        <v>0.23545286175265623</v>
      </c>
      <c r="AP35" s="199"/>
      <c r="AQ35" s="199"/>
      <c r="AR35" s="200"/>
      <c r="AS35" s="200"/>
      <c r="AT35" s="200"/>
      <c r="AU35" s="200"/>
      <c r="AW35" s="85">
        <v>19.403295004511101</v>
      </c>
      <c r="AX35" s="85">
        <v>35.378939903818498</v>
      </c>
      <c r="AY35" s="92">
        <v>20.133241389317298</v>
      </c>
      <c r="AZ35" s="92">
        <v>42.105588337909602</v>
      </c>
      <c r="BA35" s="94">
        <v>1.8146260973638901E-5</v>
      </c>
      <c r="BB35" s="93">
        <v>5932</v>
      </c>
      <c r="BC35" s="92">
        <v>32.430065973207</v>
      </c>
      <c r="BD35" s="91">
        <f t="shared" si="13"/>
        <v>108414.89138978317</v>
      </c>
      <c r="BE35" s="90">
        <v>5798.78</v>
      </c>
      <c r="BF35" s="89">
        <f t="shared" si="14"/>
        <v>20.13324138931727</v>
      </c>
      <c r="BG35" s="83">
        <f t="shared" si="15"/>
        <v>-0.96491106093200418</v>
      </c>
      <c r="BH35" s="86">
        <f t="shared" si="16"/>
        <v>0.14927404105765896</v>
      </c>
      <c r="BI35" s="86">
        <f t="shared" si="17"/>
        <v>-0.15980393473725296</v>
      </c>
      <c r="BJ35" s="87">
        <f t="shared" si="18"/>
        <v>-2.7736753691676673E-4</v>
      </c>
      <c r="BK35" s="86">
        <f t="shared" si="19"/>
        <v>-1.0807261216510771E-2</v>
      </c>
      <c r="BL35" s="88">
        <f t="shared" si="20"/>
        <v>5799.4066893019708</v>
      </c>
      <c r="BM35" s="85">
        <f t="shared" si="21"/>
        <v>20.131065772453574</v>
      </c>
      <c r="BN35" s="85">
        <f t="shared" si="22"/>
        <v>108403.17597538851</v>
      </c>
      <c r="BO35" s="83">
        <f t="shared" si="23"/>
        <v>-0.96495799373508262</v>
      </c>
      <c r="BP35" s="86">
        <f t="shared" si="24"/>
        <v>0.14929315761206607</v>
      </c>
      <c r="BQ35" s="86">
        <f t="shared" si="25"/>
        <v>-0.15983085775275796</v>
      </c>
      <c r="BR35" s="87">
        <f t="shared" si="26"/>
        <v>-2.7733756432173903E-4</v>
      </c>
      <c r="BS35" s="86">
        <f t="shared" si="27"/>
        <v>-1.0815037705013625E-2</v>
      </c>
      <c r="BT35" s="85">
        <f t="shared" si="28"/>
        <v>5799.4071402434301</v>
      </c>
      <c r="BU35" s="84">
        <f t="shared" si="29"/>
        <v>20.131064207132852</v>
      </c>
      <c r="BV35" s="83">
        <f t="shared" si="30"/>
        <v>0.23545286175265623</v>
      </c>
    </row>
    <row r="36" spans="1:74" x14ac:dyDescent="0.25">
      <c r="B36" s="99">
        <v>31</v>
      </c>
      <c r="C36" s="98">
        <v>45238.408981481502</v>
      </c>
      <c r="D36" s="73">
        <v>181.78235000000001</v>
      </c>
      <c r="E36" s="73">
        <v>0.97041243093922502</v>
      </c>
      <c r="F36" s="71">
        <v>19.597364130808</v>
      </c>
      <c r="G36" s="71">
        <v>35.359609628071503</v>
      </c>
      <c r="H36" s="92">
        <f t="shared" si="0"/>
        <v>0.23462931976056031</v>
      </c>
      <c r="I36" s="73">
        <v>42.052764429458598</v>
      </c>
      <c r="J36" s="75">
        <v>1.8154399911147199E-5</v>
      </c>
      <c r="K36" s="74">
        <v>4274</v>
      </c>
      <c r="L36" s="73">
        <v>23.5116335551829</v>
      </c>
      <c r="M36" s="71">
        <v>100.19644546062401</v>
      </c>
      <c r="N36" s="73">
        <v>0.23511633555182901</v>
      </c>
      <c r="O36" s="71">
        <f t="shared" si="1"/>
        <v>0.20756817253943255</v>
      </c>
      <c r="Q36" s="97">
        <f t="shared" si="2"/>
        <v>19.597364130808</v>
      </c>
      <c r="R36" s="97">
        <f t="shared" si="3"/>
        <v>36.33002205901073</v>
      </c>
      <c r="S36" s="67">
        <v>42.053741232382002</v>
      </c>
      <c r="T36" s="67">
        <v>355.39788508481001</v>
      </c>
      <c r="U36" s="67">
        <v>1.462071645005</v>
      </c>
      <c r="V36" s="67">
        <v>93.52</v>
      </c>
      <c r="W36" s="67">
        <v>44.7</v>
      </c>
      <c r="X36" s="67">
        <f t="shared" si="4"/>
        <v>2.2350000000000002E-2</v>
      </c>
      <c r="Y36" s="67">
        <v>1</v>
      </c>
      <c r="Z36" s="67">
        <f t="shared" si="5"/>
        <v>0.99931771205321951</v>
      </c>
      <c r="AA36" s="96">
        <f t="shared" si="6"/>
        <v>1.0025700088455731</v>
      </c>
      <c r="AB36" s="96">
        <f t="shared" si="7"/>
        <v>0.23555975729888123</v>
      </c>
      <c r="AC36" s="67">
        <f t="shared" si="8"/>
        <v>0.39655638062218107</v>
      </c>
      <c r="AD36" s="95">
        <f t="shared" si="9"/>
        <v>0.23462931976056031</v>
      </c>
      <c r="AE36" s="199"/>
      <c r="AF36" s="199"/>
      <c r="AG36" s="200"/>
      <c r="AH36" s="200"/>
      <c r="AI36" s="200"/>
      <c r="AJ36" s="200"/>
      <c r="AK36" s="76"/>
      <c r="AL36" s="76"/>
      <c r="AM36" s="95">
        <f t="shared" si="10"/>
        <v>0.23572058661393594</v>
      </c>
      <c r="AN36" s="95">
        <f t="shared" si="11"/>
        <v>0.46510250913622714</v>
      </c>
      <c r="AO36" s="95">
        <f t="shared" si="12"/>
        <v>0.23462931976056031</v>
      </c>
      <c r="AP36" s="199"/>
      <c r="AQ36" s="199"/>
      <c r="AR36" s="200"/>
      <c r="AS36" s="200"/>
      <c r="AT36" s="200"/>
      <c r="AU36" s="200"/>
      <c r="AW36" s="85">
        <v>19.350305013690001</v>
      </c>
      <c r="AX36" s="85">
        <v>35.375499502976098</v>
      </c>
      <c r="AY36" s="92">
        <v>20.060793022895599</v>
      </c>
      <c r="AZ36" s="92">
        <v>42.109966225746298</v>
      </c>
      <c r="BA36" s="94">
        <v>1.8143869997681199E-5</v>
      </c>
      <c r="BB36" s="93">
        <v>5874</v>
      </c>
      <c r="BC36" s="92">
        <v>32.313368157029501</v>
      </c>
      <c r="BD36" s="91">
        <f t="shared" si="13"/>
        <v>108050.23495724976</v>
      </c>
      <c r="BE36" s="90">
        <v>5798.78</v>
      </c>
      <c r="BF36" s="89">
        <f t="shared" si="14"/>
        <v>20.060793022895542</v>
      </c>
      <c r="BG36" s="83">
        <f t="shared" si="15"/>
        <v>-0.96637428439826778</v>
      </c>
      <c r="BH36" s="86">
        <f t="shared" si="16"/>
        <v>0.14987160195384433</v>
      </c>
      <c r="BI36" s="86">
        <f t="shared" si="17"/>
        <v>-0.16068803828138073</v>
      </c>
      <c r="BJ36" s="87">
        <f t="shared" si="18"/>
        <v>-2.7642399969158291E-4</v>
      </c>
      <c r="BK36" s="86">
        <f t="shared" si="19"/>
        <v>-1.1092860327227982E-2</v>
      </c>
      <c r="BL36" s="88">
        <f t="shared" si="20"/>
        <v>5799.423250566083</v>
      </c>
      <c r="BM36" s="85">
        <f t="shared" si="21"/>
        <v>20.058567953968765</v>
      </c>
      <c r="BN36" s="85">
        <f t="shared" si="22"/>
        <v>108038.25042503011</v>
      </c>
      <c r="BO36" s="83">
        <f t="shared" si="23"/>
        <v>-0.96642245740672139</v>
      </c>
      <c r="BP36" s="86">
        <f t="shared" si="24"/>
        <v>0.14989133018244361</v>
      </c>
      <c r="BQ36" s="86">
        <f t="shared" si="25"/>
        <v>-0.16071584153504243</v>
      </c>
      <c r="BR36" s="87">
        <f t="shared" si="26"/>
        <v>-2.7639333976444899E-4</v>
      </c>
      <c r="BS36" s="86">
        <f t="shared" si="27"/>
        <v>-1.1100904692363269E-2</v>
      </c>
      <c r="BT36" s="85">
        <f t="shared" si="28"/>
        <v>5799.4237170411197</v>
      </c>
      <c r="BU36" s="84">
        <f t="shared" si="29"/>
        <v>20.05856634056342</v>
      </c>
      <c r="BV36" s="83">
        <f t="shared" si="30"/>
        <v>0.23462931976056031</v>
      </c>
    </row>
    <row r="37" spans="1:74" x14ac:dyDescent="0.25">
      <c r="B37" s="99">
        <v>32</v>
      </c>
      <c r="C37" s="98">
        <v>45238.417604166701</v>
      </c>
      <c r="D37" s="73">
        <v>183.18895000000001</v>
      </c>
      <c r="E37" s="73">
        <v>0.97059162087911999</v>
      </c>
      <c r="F37" s="71">
        <v>20.526684706207</v>
      </c>
      <c r="G37" s="71">
        <v>35.489664834406398</v>
      </c>
      <c r="H37" s="92">
        <f t="shared" si="0"/>
        <v>5.499837068028735</v>
      </c>
      <c r="I37" s="73">
        <v>42.058275508070999</v>
      </c>
      <c r="J37" s="75">
        <v>1.8197664266179201E-5</v>
      </c>
      <c r="K37" s="74">
        <v>100553</v>
      </c>
      <c r="L37" s="73">
        <v>548.90319530735906</v>
      </c>
      <c r="M37" s="71">
        <v>99.850082342243596</v>
      </c>
      <c r="N37" s="73">
        <v>5.4890319530735896</v>
      </c>
      <c r="O37" s="71">
        <f t="shared" si="1"/>
        <v>-0.19646245555085418</v>
      </c>
      <c r="Q37" s="97">
        <f t="shared" si="2"/>
        <v>20.526684706207</v>
      </c>
      <c r="R37" s="97">
        <f t="shared" si="3"/>
        <v>36.460256455285517</v>
      </c>
      <c r="S37" s="67">
        <v>42.059240395304997</v>
      </c>
      <c r="T37" s="67">
        <v>356.02221421116599</v>
      </c>
      <c r="U37" s="67">
        <v>1.4621633692510001</v>
      </c>
      <c r="V37" s="67">
        <v>93.52</v>
      </c>
      <c r="W37" s="67">
        <v>44.7</v>
      </c>
      <c r="X37" s="67">
        <f t="shared" si="4"/>
        <v>2.2350000000000002E-2</v>
      </c>
      <c r="Y37" s="67">
        <v>1</v>
      </c>
      <c r="Z37" s="67">
        <f t="shared" si="5"/>
        <v>0.99932010128265036</v>
      </c>
      <c r="AA37" s="96">
        <f t="shared" si="6"/>
        <v>1.0025800747370925</v>
      </c>
      <c r="AB37" s="96">
        <f t="shared" si="7"/>
        <v>5.499452451160181</v>
      </c>
      <c r="AC37" s="67">
        <f t="shared" si="8"/>
        <v>-6.9932411414473147E-3</v>
      </c>
      <c r="AD37" s="95">
        <f t="shared" si="9"/>
        <v>5.499837068028735</v>
      </c>
      <c r="AE37" s="199">
        <f>AVERAGE(AD37:AD39)</f>
        <v>5.5255901473251541</v>
      </c>
      <c r="AF37" s="199">
        <f>AVERAGE(AC37:AC39)</f>
        <v>-3.6050565517103506E-2</v>
      </c>
      <c r="AG37" s="200">
        <f>STDEV(AC37:AC39)</f>
        <v>0.1197321600115317</v>
      </c>
      <c r="AH37" s="200">
        <f>AG37*4.303/SQRT(2)</f>
        <v>0.36430670602895815</v>
      </c>
      <c r="AI37" s="200">
        <v>0.25</v>
      </c>
      <c r="AJ37" s="200">
        <f>SQRT(AI37^2+AH37^2)</f>
        <v>0.44183636796632048</v>
      </c>
      <c r="AK37" s="76"/>
      <c r="AL37" s="76"/>
      <c r="AM37" s="95">
        <f t="shared" si="10"/>
        <v>5.5031940657468086</v>
      </c>
      <c r="AN37" s="95">
        <f t="shared" si="11"/>
        <v>6.1038130340047542E-2</v>
      </c>
      <c r="AO37" s="95">
        <f t="shared" si="12"/>
        <v>5.499837068028735</v>
      </c>
      <c r="AP37" s="199">
        <f>AVERAGE(AO37:AO39)</f>
        <v>5.5255901473251541</v>
      </c>
      <c r="AQ37" s="199">
        <f>AVERAGE(AN37:AN39)</f>
        <v>3.2131574086425217E-2</v>
      </c>
      <c r="AR37" s="200">
        <f>STDEV(AN37:AN39)</f>
        <v>0.11975273820707975</v>
      </c>
      <c r="AS37" s="200">
        <f>AR37*4.303/SQRT(2)</f>
        <v>0.36436931890285446</v>
      </c>
      <c r="AT37" s="200">
        <v>0.25</v>
      </c>
      <c r="AU37" s="200">
        <f>SQRT(AT37^2+AS37^2)</f>
        <v>0.44188799548950192</v>
      </c>
      <c r="AW37" s="85">
        <v>20.234292436705001</v>
      </c>
      <c r="AX37" s="85">
        <v>35.112982554331097</v>
      </c>
      <c r="AY37" s="92">
        <v>474.94935456057402</v>
      </c>
      <c r="AZ37" s="92">
        <v>41.667988010449001</v>
      </c>
      <c r="BA37" s="94">
        <v>1.81775631841626E-5</v>
      </c>
      <c r="BB37" s="93">
        <v>140146</v>
      </c>
      <c r="BC37" s="92">
        <v>765.035227288545</v>
      </c>
      <c r="BD37" s="91">
        <f t="shared" si="13"/>
        <v>2526601.911136332</v>
      </c>
      <c r="BE37" s="90">
        <v>5798.78</v>
      </c>
      <c r="BF37" s="89">
        <f t="shared" si="14"/>
        <v>474.94935456057345</v>
      </c>
      <c r="BG37" s="83">
        <f t="shared" si="15"/>
        <v>0.40253682030689664</v>
      </c>
      <c r="BH37" s="86">
        <f t="shared" si="16"/>
        <v>5.634323985446834E-2</v>
      </c>
      <c r="BI37" s="86">
        <f t="shared" si="17"/>
        <v>-3.1819710449940176E-3</v>
      </c>
      <c r="BJ37" s="87">
        <f t="shared" si="18"/>
        <v>-6.5228682960355774E-3</v>
      </c>
      <c r="BK37" s="86">
        <f t="shared" si="19"/>
        <v>4.6638400513438739E-2</v>
      </c>
      <c r="BL37" s="88">
        <f t="shared" si="20"/>
        <v>5796.075541758707</v>
      </c>
      <c r="BM37" s="85">
        <f t="shared" si="21"/>
        <v>475.17096669914616</v>
      </c>
      <c r="BN37" s="85">
        <f t="shared" si="22"/>
        <v>2527780.8276828486</v>
      </c>
      <c r="BO37" s="83">
        <f t="shared" si="23"/>
        <v>0.40273941555403892</v>
      </c>
      <c r="BP37" s="86">
        <f t="shared" si="24"/>
        <v>5.6321004739884814E-2</v>
      </c>
      <c r="BQ37" s="86">
        <f t="shared" si="25"/>
        <v>-3.1804114297462644E-3</v>
      </c>
      <c r="BR37" s="87">
        <f t="shared" si="26"/>
        <v>-6.525911876953905E-3</v>
      </c>
      <c r="BS37" s="86">
        <f t="shared" si="27"/>
        <v>4.6614681433184639E-2</v>
      </c>
      <c r="BT37" s="85">
        <f t="shared" si="28"/>
        <v>5796.0769171759885</v>
      </c>
      <c r="BU37" s="84">
        <f t="shared" si="29"/>
        <v>475.17085394040112</v>
      </c>
      <c r="BV37" s="83">
        <f t="shared" si="30"/>
        <v>5.499837068028735</v>
      </c>
    </row>
    <row r="38" spans="1:74" x14ac:dyDescent="0.25">
      <c r="B38" s="99">
        <v>33</v>
      </c>
      <c r="C38" s="98">
        <v>45238.422708333303</v>
      </c>
      <c r="D38" s="73">
        <v>182.46153000000001</v>
      </c>
      <c r="E38" s="73">
        <v>0.97070849999999997</v>
      </c>
      <c r="F38" s="71">
        <v>19.610515368375999</v>
      </c>
      <c r="G38" s="71">
        <v>35.484107356343799</v>
      </c>
      <c r="H38" s="92">
        <f t="shared" si="0"/>
        <v>5.5075975400145891</v>
      </c>
      <c r="I38" s="73">
        <v>42.195503932902398</v>
      </c>
      <c r="J38" s="75">
        <v>1.8157402192112001E-5</v>
      </c>
      <c r="K38" s="74">
        <v>100369</v>
      </c>
      <c r="L38" s="73">
        <v>550.08307778631502</v>
      </c>
      <c r="M38" s="71">
        <v>99.923587327148397</v>
      </c>
      <c r="N38" s="73">
        <v>5.5008307778631496</v>
      </c>
      <c r="O38" s="71">
        <f t="shared" si="1"/>
        <v>-0.12286232068114476</v>
      </c>
      <c r="Q38" s="97">
        <f t="shared" si="2"/>
        <v>19.610515368375999</v>
      </c>
      <c r="R38" s="97">
        <f t="shared" si="3"/>
        <v>36.454815856343799</v>
      </c>
      <c r="S38" s="67">
        <v>42.196486490615001</v>
      </c>
      <c r="T38" s="67">
        <v>355.434842697264</v>
      </c>
      <c r="U38" s="67">
        <v>1.4623164966690001</v>
      </c>
      <c r="V38" s="67">
        <v>93.52</v>
      </c>
      <c r="W38" s="67">
        <v>44.7</v>
      </c>
      <c r="X38" s="67">
        <f t="shared" si="4"/>
        <v>2.2350000000000002E-2</v>
      </c>
      <c r="Y38" s="67">
        <v>1</v>
      </c>
      <c r="Z38" s="67">
        <f t="shared" si="5"/>
        <v>0.99931785383573279</v>
      </c>
      <c r="AA38" s="96">
        <f t="shared" si="6"/>
        <v>1.0025796446004565</v>
      </c>
      <c r="AB38" s="96">
        <f t="shared" si="7"/>
        <v>5.5112589158792895</v>
      </c>
      <c r="AC38" s="67">
        <f t="shared" si="8"/>
        <v>6.6478638609652113E-2</v>
      </c>
      <c r="AD38" s="95">
        <f t="shared" si="9"/>
        <v>5.5075975400145891</v>
      </c>
      <c r="AE38" s="199"/>
      <c r="AF38" s="199"/>
      <c r="AG38" s="200"/>
      <c r="AH38" s="200"/>
      <c r="AI38" s="200"/>
      <c r="AJ38" s="200"/>
      <c r="AK38" s="76"/>
      <c r="AL38" s="76"/>
      <c r="AM38" s="95">
        <f t="shared" si="10"/>
        <v>5.5150209662772891</v>
      </c>
      <c r="AN38" s="95">
        <f t="shared" si="11"/>
        <v>0.13478519824235957</v>
      </c>
      <c r="AO38" s="95">
        <f t="shared" si="12"/>
        <v>5.5075975400145891</v>
      </c>
      <c r="AP38" s="199"/>
      <c r="AQ38" s="199"/>
      <c r="AR38" s="200"/>
      <c r="AS38" s="200"/>
      <c r="AT38" s="200"/>
      <c r="AU38" s="200"/>
      <c r="AW38" s="85">
        <v>19.746275990998999</v>
      </c>
      <c r="AX38" s="85">
        <v>35.1075247258593</v>
      </c>
      <c r="AY38" s="92">
        <v>474.82857335549897</v>
      </c>
      <c r="AZ38" s="92">
        <v>41.737451110905297</v>
      </c>
      <c r="BA38" s="94">
        <v>1.8156049431211301E-5</v>
      </c>
      <c r="BB38" s="93">
        <v>139554</v>
      </c>
      <c r="BC38" s="92">
        <v>764.84067627844604</v>
      </c>
      <c r="BD38" s="91">
        <f t="shared" si="13"/>
        <v>2533168.4069902017</v>
      </c>
      <c r="BE38" s="90">
        <v>5798.78</v>
      </c>
      <c r="BF38" s="89">
        <f t="shared" si="14"/>
        <v>474.82857335549994</v>
      </c>
      <c r="BG38" s="83">
        <f t="shared" si="15"/>
        <v>0.40366406298255819</v>
      </c>
      <c r="BH38" s="86">
        <f t="shared" si="16"/>
        <v>5.6219438038987053E-2</v>
      </c>
      <c r="BI38" s="86">
        <f t="shared" si="17"/>
        <v>-3.1775245671765871E-3</v>
      </c>
      <c r="BJ38" s="87">
        <f t="shared" si="18"/>
        <v>-6.5330477626149549E-3</v>
      </c>
      <c r="BK38" s="86">
        <f t="shared" si="19"/>
        <v>4.6508865709195511E-2</v>
      </c>
      <c r="BL38" s="88">
        <f t="shared" si="20"/>
        <v>5796.0830531970278</v>
      </c>
      <c r="BM38" s="85">
        <f t="shared" si="21"/>
        <v>475.04951349578391</v>
      </c>
      <c r="BN38" s="85">
        <f t="shared" si="22"/>
        <v>2534347.1030809786</v>
      </c>
      <c r="BO38" s="83">
        <f t="shared" si="23"/>
        <v>0.40386609540506568</v>
      </c>
      <c r="BP38" s="86">
        <f t="shared" si="24"/>
        <v>5.6197227450751341E-2</v>
      </c>
      <c r="BQ38" s="86">
        <f t="shared" si="25"/>
        <v>-3.1759714387269091E-3</v>
      </c>
      <c r="BR38" s="87">
        <f t="shared" si="26"/>
        <v>-6.5360876228300925E-3</v>
      </c>
      <c r="BS38" s="86">
        <f t="shared" si="27"/>
        <v>4.6485168389194337E-2</v>
      </c>
      <c r="BT38" s="85">
        <f t="shared" si="28"/>
        <v>5796.0844273524808</v>
      </c>
      <c r="BU38" s="84">
        <f t="shared" si="29"/>
        <v>475.04940086942599</v>
      </c>
      <c r="BV38" s="83">
        <f t="shared" si="30"/>
        <v>5.5075975400145891</v>
      </c>
    </row>
    <row r="39" spans="1:74" x14ac:dyDescent="0.25">
      <c r="B39" s="99">
        <v>34</v>
      </c>
      <c r="C39" s="98">
        <v>45238.427314814799</v>
      </c>
      <c r="D39" s="73">
        <v>183.98285999999999</v>
      </c>
      <c r="E39" s="73">
        <v>0.97076510382513703</v>
      </c>
      <c r="F39" s="71">
        <v>19.360802417965999</v>
      </c>
      <c r="G39" s="71">
        <v>35.480116342174398</v>
      </c>
      <c r="H39" s="92">
        <f t="shared" si="0"/>
        <v>5.5693358339321382</v>
      </c>
      <c r="I39" s="73">
        <v>42.230237015105303</v>
      </c>
      <c r="J39" s="75">
        <v>1.8146373436030399E-5</v>
      </c>
      <c r="K39" s="74">
        <v>102101</v>
      </c>
      <c r="L39" s="73">
        <v>554.94843378345104</v>
      </c>
      <c r="M39" s="71">
        <v>99.689296050891997</v>
      </c>
      <c r="N39" s="73">
        <v>5.5494843378345102</v>
      </c>
      <c r="O39" s="71">
        <f t="shared" si="1"/>
        <v>-0.35644279119745786</v>
      </c>
      <c r="Q39" s="97">
        <f t="shared" si="2"/>
        <v>19.360802417965999</v>
      </c>
      <c r="R39" s="97">
        <f t="shared" si="3"/>
        <v>36.450881445999535</v>
      </c>
      <c r="S39" s="67">
        <v>42.231224351827002</v>
      </c>
      <c r="T39" s="67">
        <v>355.27394714437003</v>
      </c>
      <c r="U39" s="67">
        <v>1.4623534697559999</v>
      </c>
      <c r="V39" s="67">
        <v>93.52</v>
      </c>
      <c r="W39" s="67">
        <v>44.7</v>
      </c>
      <c r="X39" s="67">
        <f t="shared" si="4"/>
        <v>2.2350000000000002E-2</v>
      </c>
      <c r="Y39" s="67">
        <v>1</v>
      </c>
      <c r="Z39" s="67">
        <f t="shared" si="5"/>
        <v>0.99931723626056557</v>
      </c>
      <c r="AA39" s="96">
        <f t="shared" si="6"/>
        <v>1.0025793357049242</v>
      </c>
      <c r="AB39" s="96">
        <f t="shared" si="7"/>
        <v>5.5599995611839468</v>
      </c>
      <c r="AC39" s="67">
        <f t="shared" si="8"/>
        <v>-0.16763709401951532</v>
      </c>
      <c r="AD39" s="95">
        <f t="shared" si="9"/>
        <v>5.5693358339321382</v>
      </c>
      <c r="AE39" s="199"/>
      <c r="AF39" s="199"/>
      <c r="AG39" s="200"/>
      <c r="AH39" s="200"/>
      <c r="AI39" s="200"/>
      <c r="AJ39" s="200"/>
      <c r="AK39" s="76"/>
      <c r="AL39" s="76"/>
      <c r="AM39" s="95">
        <f t="shared" si="10"/>
        <v>5.5637983209310047</v>
      </c>
      <c r="AN39" s="95">
        <f t="shared" si="11"/>
        <v>-9.9428606323131455E-2</v>
      </c>
      <c r="AO39" s="95">
        <f t="shared" si="12"/>
        <v>5.5693358339321382</v>
      </c>
      <c r="AP39" s="199"/>
      <c r="AQ39" s="199"/>
      <c r="AR39" s="200"/>
      <c r="AS39" s="200"/>
      <c r="AT39" s="200"/>
      <c r="AU39" s="200"/>
      <c r="AW39" s="85">
        <v>19.485184323895002</v>
      </c>
      <c r="AX39" s="85">
        <v>35.095465185469102</v>
      </c>
      <c r="AY39" s="92">
        <v>479.84764690784499</v>
      </c>
      <c r="AZ39" s="92">
        <v>41.764110109766499</v>
      </c>
      <c r="BA39" s="94">
        <v>1.8144357169020001E-5</v>
      </c>
      <c r="BB39" s="93">
        <v>142205</v>
      </c>
      <c r="BC39" s="92">
        <v>772.92526053785696</v>
      </c>
      <c r="BD39" s="91">
        <f t="shared" si="13"/>
        <v>2563230.5233179578</v>
      </c>
      <c r="BE39" s="90">
        <v>5798.78</v>
      </c>
      <c r="BF39" s="89">
        <f t="shared" si="14"/>
        <v>479.84764690784698</v>
      </c>
      <c r="BG39" s="83">
        <f t="shared" si="15"/>
        <v>0.40878766607612799</v>
      </c>
      <c r="BH39" s="86">
        <f t="shared" si="16"/>
        <v>5.5654130314098757E-2</v>
      </c>
      <c r="BI39" s="86">
        <f t="shared" si="17"/>
        <v>-3.1406060425046259E-3</v>
      </c>
      <c r="BJ39" s="87">
        <f t="shared" si="18"/>
        <v>-6.6085195108978095E-3</v>
      </c>
      <c r="BK39" s="86">
        <f t="shared" si="19"/>
        <v>4.5905004760696318E-2</v>
      </c>
      <c r="BL39" s="88">
        <f t="shared" si="20"/>
        <v>5796.118069764937</v>
      </c>
      <c r="BM39" s="85">
        <f t="shared" si="21"/>
        <v>480.06802215627243</v>
      </c>
      <c r="BN39" s="85">
        <f t="shared" si="22"/>
        <v>2564407.7148015215</v>
      </c>
      <c r="BO39" s="83">
        <f t="shared" si="23"/>
        <v>0.4089870747515047</v>
      </c>
      <c r="BP39" s="86">
        <f t="shared" si="24"/>
        <v>5.5632043567879659E-2</v>
      </c>
      <c r="BQ39" s="86">
        <f t="shared" si="25"/>
        <v>-3.1390916196051629E-3</v>
      </c>
      <c r="BR39" s="87">
        <f t="shared" si="26"/>
        <v>-6.6115545453265976E-3</v>
      </c>
      <c r="BS39" s="86">
        <f t="shared" si="27"/>
        <v>4.5881397402947902E-2</v>
      </c>
      <c r="BT39" s="85">
        <f t="shared" si="28"/>
        <v>5796.1194387036767</v>
      </c>
      <c r="BU39" s="84">
        <f t="shared" si="29"/>
        <v>480.06790877287517</v>
      </c>
      <c r="BV39" s="83">
        <f t="shared" si="30"/>
        <v>5.5693358339321382</v>
      </c>
    </row>
    <row r="40" spans="1:74" x14ac:dyDescent="0.25">
      <c r="B40" s="99">
        <v>35</v>
      </c>
      <c r="C40" s="98">
        <v>45238.432326388902</v>
      </c>
      <c r="D40" s="73">
        <v>64.209800000000001</v>
      </c>
      <c r="E40" s="73">
        <v>0.970903421875001</v>
      </c>
      <c r="F40" s="71">
        <v>19.218806296714</v>
      </c>
      <c r="G40" s="71">
        <v>35.480090409731602</v>
      </c>
      <c r="H40" s="92" t="e">
        <f t="shared" si="0"/>
        <v>#NUM!</v>
      </c>
      <c r="I40" s="73">
        <v>42.252749637510803</v>
      </c>
      <c r="J40" s="75">
        <v>1.8140146441078901E-5</v>
      </c>
      <c r="K40" s="74">
        <v>5</v>
      </c>
      <c r="L40" s="73">
        <v>7.7869733280589604E-2</v>
      </c>
      <c r="M40" s="71" t="s">
        <v>132</v>
      </c>
      <c r="N40" s="73">
        <v>7.7869733280589598E-4</v>
      </c>
      <c r="O40" s="71" t="e">
        <f t="shared" si="1"/>
        <v>#NUM!</v>
      </c>
      <c r="Q40" s="97">
        <f t="shared" si="2"/>
        <v>19.218806296714</v>
      </c>
      <c r="R40" s="97">
        <f t="shared" si="3"/>
        <v>36.450993831606603</v>
      </c>
      <c r="S40" s="67">
        <v>42.253739820439002</v>
      </c>
      <c r="T40" s="67">
        <v>355.18294719149901</v>
      </c>
      <c r="U40" s="67">
        <v>1.4623791723940001</v>
      </c>
      <c r="V40" s="67">
        <v>93.52</v>
      </c>
      <c r="W40" s="67">
        <v>44.7</v>
      </c>
      <c r="X40" s="67">
        <f t="shared" si="4"/>
        <v>2.2350000000000002E-2</v>
      </c>
      <c r="Y40" s="67">
        <v>1</v>
      </c>
      <c r="Z40" s="67">
        <f t="shared" si="5"/>
        <v>0.99931688659862627</v>
      </c>
      <c r="AA40" s="96">
        <f t="shared" si="6"/>
        <v>1.0025793336978122</v>
      </c>
      <c r="AB40" s="96">
        <f t="shared" si="7"/>
        <v>7.80172542446031E-4</v>
      </c>
      <c r="AC40" s="67" t="e">
        <f t="shared" si="8"/>
        <v>#NUM!</v>
      </c>
      <c r="AD40" s="95" t="e">
        <f t="shared" si="9"/>
        <v>#NUM!</v>
      </c>
      <c r="AE40" s="76"/>
      <c r="AF40" s="76"/>
      <c r="AG40" s="76"/>
      <c r="AH40" s="76"/>
      <c r="AI40" s="76"/>
      <c r="AJ40" s="76"/>
      <c r="AK40" s="76"/>
      <c r="AL40" s="76"/>
      <c r="AM40" s="95">
        <f t="shared" si="10"/>
        <v>7.8070585307679868E-4</v>
      </c>
      <c r="AN40" s="95" t="e">
        <f t="shared" si="11"/>
        <v>#NUM!</v>
      </c>
      <c r="AO40" s="95" t="e">
        <f t="shared" si="12"/>
        <v>#NUM!</v>
      </c>
      <c r="AW40" s="85">
        <v>19.344007594109002</v>
      </c>
      <c r="AX40" s="85">
        <v>35.496518974335999</v>
      </c>
      <c r="AY40" s="92">
        <v>0</v>
      </c>
      <c r="AZ40" s="92">
        <v>42.252096071222503</v>
      </c>
      <c r="BA40" s="94">
        <v>1.8145958826561202E-5</v>
      </c>
      <c r="BB40" s="93">
        <v>0</v>
      </c>
      <c r="BC40" s="92">
        <v>0</v>
      </c>
      <c r="BD40" s="91">
        <f t="shared" si="13"/>
        <v>0</v>
      </c>
      <c r="BE40" s="90">
        <v>5798.78</v>
      </c>
      <c r="BF40" s="89">
        <f t="shared" si="14"/>
        <v>0</v>
      </c>
      <c r="BG40" s="83" t="e">
        <f t="shared" si="15"/>
        <v>#NUM!</v>
      </c>
      <c r="BH40" s="86" t="e">
        <f t="shared" si="16"/>
        <v>#NUM!</v>
      </c>
      <c r="BI40" s="86" t="e">
        <f t="shared" si="17"/>
        <v>#DIV/0!</v>
      </c>
      <c r="BJ40" s="87">
        <f t="shared" si="18"/>
        <v>0</v>
      </c>
      <c r="BK40" s="86" t="e">
        <f t="shared" si="19"/>
        <v>#NUM!</v>
      </c>
      <c r="BL40" s="88" t="e">
        <f t="shared" si="20"/>
        <v>#NUM!</v>
      </c>
      <c r="BM40" s="85" t="e">
        <f t="shared" si="21"/>
        <v>#NUM!</v>
      </c>
      <c r="BN40" s="85" t="e">
        <f t="shared" si="22"/>
        <v>#NUM!</v>
      </c>
      <c r="BO40" s="83" t="e">
        <f t="shared" si="23"/>
        <v>#NUM!</v>
      </c>
      <c r="BP40" s="86" t="e">
        <f t="shared" si="24"/>
        <v>#NUM!</v>
      </c>
      <c r="BQ40" s="86" t="e">
        <f t="shared" si="25"/>
        <v>#NUM!</v>
      </c>
      <c r="BR40" s="87" t="e">
        <f t="shared" si="26"/>
        <v>#NUM!</v>
      </c>
      <c r="BS40" s="86" t="e">
        <f t="shared" si="27"/>
        <v>#NUM!</v>
      </c>
      <c r="BT40" s="85" t="e">
        <f t="shared" si="28"/>
        <v>#NUM!</v>
      </c>
      <c r="BU40" s="84" t="e">
        <f t="shared" si="29"/>
        <v>#NUM!</v>
      </c>
      <c r="BV40" s="83" t="e">
        <f t="shared" si="30"/>
        <v>#NUM!</v>
      </c>
    </row>
    <row r="41" spans="1:74" x14ac:dyDescent="0.25">
      <c r="C41" s="82"/>
      <c r="D41" s="79"/>
      <c r="E41" s="79"/>
      <c r="F41" s="76"/>
      <c r="G41" s="76"/>
      <c r="H41" s="79"/>
      <c r="I41" s="79"/>
      <c r="J41" s="81"/>
      <c r="K41" s="80"/>
      <c r="L41" s="79"/>
      <c r="M41" s="76"/>
      <c r="N41" s="79"/>
      <c r="O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W41" s="71"/>
      <c r="AX41" s="71"/>
      <c r="AY41" s="73"/>
      <c r="AZ41" s="73"/>
      <c r="BA41" s="75"/>
      <c r="BB41" s="74"/>
      <c r="BC41" s="73"/>
      <c r="BD41" s="72"/>
      <c r="BE41" s="71"/>
      <c r="BF41" s="71"/>
      <c r="BG41" s="71"/>
      <c r="BH41" s="71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69"/>
      <c r="BV41" s="68"/>
    </row>
    <row r="42" spans="1:74" x14ac:dyDescent="0.25"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W42" s="71"/>
      <c r="AX42" s="71"/>
      <c r="AY42" s="73"/>
      <c r="AZ42" s="73"/>
      <c r="BA42" s="75"/>
      <c r="BB42" s="74"/>
      <c r="BC42" s="73"/>
      <c r="BD42" s="72"/>
      <c r="BE42" s="71"/>
      <c r="BF42" s="71"/>
      <c r="BG42" s="71"/>
      <c r="BH42" s="71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69"/>
      <c r="BV42" s="68"/>
    </row>
    <row r="43" spans="1:74" hidden="1" x14ac:dyDescent="0.25">
      <c r="A43" s="78" t="s">
        <v>131</v>
      </c>
      <c r="B43" s="77" t="s">
        <v>130</v>
      </c>
      <c r="C43" s="77" t="s">
        <v>130</v>
      </c>
      <c r="D43" s="77" t="s">
        <v>129</v>
      </c>
      <c r="E43" s="77" t="s">
        <v>129</v>
      </c>
      <c r="F43" s="77" t="s">
        <v>129</v>
      </c>
      <c r="G43" s="77" t="s">
        <v>129</v>
      </c>
      <c r="H43" s="77" t="s">
        <v>129</v>
      </c>
      <c r="I43" s="77" t="s">
        <v>129</v>
      </c>
      <c r="J43" s="77" t="s">
        <v>129</v>
      </c>
      <c r="K43" s="77" t="s">
        <v>129</v>
      </c>
      <c r="L43" s="77" t="s">
        <v>129</v>
      </c>
      <c r="M43" s="77" t="s">
        <v>129</v>
      </c>
      <c r="N43" s="77" t="s">
        <v>129</v>
      </c>
      <c r="O43" s="77" t="s">
        <v>129</v>
      </c>
      <c r="AA43" s="67" t="e">
        <f>1/(1-0.009/100*((G43+E43)-2.06843))</f>
        <v>#VALUE!</v>
      </c>
      <c r="AB43" s="67" t="e">
        <f>N43*AA43</f>
        <v>#VALUE!</v>
      </c>
      <c r="AC43" s="67" t="e">
        <f>(AB43-H43)/H43*100</f>
        <v>#VALUE!</v>
      </c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W43" s="71">
        <v>20.041588545766999</v>
      </c>
      <c r="AX43" s="71">
        <v>9.8559655801886699</v>
      </c>
      <c r="AY43" s="73">
        <v>624.64295384216302</v>
      </c>
      <c r="AZ43" s="73">
        <v>12.472072372</v>
      </c>
      <c r="BA43" s="75">
        <v>1.7735440727448801E-5</v>
      </c>
      <c r="BB43" s="74">
        <v>182877</v>
      </c>
      <c r="BC43" s="73">
        <v>1006.14884325921</v>
      </c>
      <c r="BD43" s="72">
        <f>4*(AY43/3600*AZ43)/(BA43*PI()*0.1524)</f>
        <v>1019415.2667922853</v>
      </c>
      <c r="BE43" s="71">
        <f>$BC$4+$BC$3*BD43</f>
        <v>0</v>
      </c>
      <c r="BF43" s="71" t="e">
        <f>BC43/BE43*3600</f>
        <v>#DIV/0!</v>
      </c>
      <c r="BG43" s="71" t="e">
        <f>4*(BF43/3600*AZ43)/(BA43*PI()*0.1524)</f>
        <v>#DIV/0!</v>
      </c>
      <c r="BH43" s="71" t="e">
        <f>$BC$4+$BC$3*BG43</f>
        <v>#DIV/0!</v>
      </c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69" t="e">
        <f>BC43/BH43*3600</f>
        <v>#DIV/0!</v>
      </c>
      <c r="BV43" s="68" t="e">
        <f>BU43/3600*AZ43</f>
        <v>#DIV/0!</v>
      </c>
    </row>
    <row r="44" spans="1:74" hidden="1" x14ac:dyDescent="0.25">
      <c r="A44" s="78" t="s">
        <v>128</v>
      </c>
      <c r="B44" s="77" t="s">
        <v>127</v>
      </c>
      <c r="C44" s="77" t="s">
        <v>126</v>
      </c>
      <c r="D44" s="77">
        <v>10</v>
      </c>
      <c r="E44" s="77">
        <v>7</v>
      </c>
      <c r="F44" s="77">
        <v>24</v>
      </c>
      <c r="G44" s="77">
        <v>21</v>
      </c>
      <c r="H44" s="77">
        <v>34</v>
      </c>
      <c r="I44" s="77">
        <v>48</v>
      </c>
      <c r="J44" s="77">
        <v>94</v>
      </c>
      <c r="K44" s="77">
        <v>26</v>
      </c>
      <c r="L44" s="77">
        <v>18</v>
      </c>
      <c r="M44" s="77">
        <v>19</v>
      </c>
      <c r="N44" s="77">
        <v>16</v>
      </c>
      <c r="O44" s="77">
        <v>31</v>
      </c>
      <c r="AA44" s="67">
        <f>1/(1-0.009/100*((G44+E44)-2.06843))</f>
        <v>1.0023393008569532</v>
      </c>
      <c r="AB44" s="67">
        <f>N44*AA44</f>
        <v>16.037428813711252</v>
      </c>
      <c r="AC44" s="67">
        <f>(AB44-H44)/H44*100</f>
        <v>-52.831091724378673</v>
      </c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W44" s="71">
        <v>19.975558305162</v>
      </c>
      <c r="AX44" s="71">
        <v>10.055665907871999</v>
      </c>
      <c r="AY44" s="73">
        <v>0</v>
      </c>
      <c r="AZ44" s="73">
        <v>12.705423243751101</v>
      </c>
      <c r="BA44" s="75">
        <v>1.7735400454778701E-5</v>
      </c>
      <c r="BB44" s="74">
        <v>0</v>
      </c>
      <c r="BC44" s="73">
        <v>0</v>
      </c>
      <c r="BD44" s="72">
        <f>4*(AY44/3600*AZ44)/(BA44*PI()*0.1524)</f>
        <v>0</v>
      </c>
      <c r="BE44" s="71">
        <f>$BC$4+$BC$3*BD44</f>
        <v>0</v>
      </c>
      <c r="BF44" s="71" t="e">
        <f>BC44/BE44*3600</f>
        <v>#DIV/0!</v>
      </c>
      <c r="BG44" s="71" t="e">
        <f>4*(BF44/3600*AZ44)/(BA44*PI()*0.1524)</f>
        <v>#DIV/0!</v>
      </c>
      <c r="BH44" s="71" t="e">
        <f>$BC$4+$BC$3*BG44</f>
        <v>#DIV/0!</v>
      </c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69" t="e">
        <f>BC44/BH44*3600</f>
        <v>#DIV/0!</v>
      </c>
      <c r="BV44" s="68" t="e">
        <f>BU44/3600*AZ44</f>
        <v>#DIV/0!</v>
      </c>
    </row>
    <row r="45" spans="1:74" hidden="1" x14ac:dyDescent="0.25">
      <c r="A45" s="78" t="s">
        <v>125</v>
      </c>
      <c r="B45" s="77">
        <v>-1</v>
      </c>
      <c r="C45" s="77">
        <v>-1</v>
      </c>
      <c r="D45" s="77">
        <v>89</v>
      </c>
      <c r="E45" s="77">
        <v>89</v>
      </c>
      <c r="F45" s="77">
        <v>89</v>
      </c>
      <c r="G45" s="77">
        <v>89</v>
      </c>
      <c r="H45" s="77">
        <v>89</v>
      </c>
      <c r="I45" s="77">
        <v>89</v>
      </c>
      <c r="J45" s="77">
        <v>89</v>
      </c>
      <c r="K45" s="77">
        <v>89</v>
      </c>
      <c r="L45" s="77">
        <v>89</v>
      </c>
      <c r="M45" s="77">
        <v>89</v>
      </c>
      <c r="N45" s="77">
        <v>89</v>
      </c>
      <c r="O45" s="77">
        <v>89</v>
      </c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W45" s="71"/>
      <c r="AX45" s="71"/>
      <c r="AY45" s="73"/>
      <c r="AZ45" s="73"/>
      <c r="BA45" s="75"/>
      <c r="BB45" s="74"/>
      <c r="BC45" s="73"/>
      <c r="BD45" s="72"/>
      <c r="BE45" s="71"/>
      <c r="BF45" s="71"/>
      <c r="BG45" s="71"/>
      <c r="BH45" s="71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69"/>
      <c r="BV45" s="68"/>
    </row>
    <row r="46" spans="1:74" hidden="1" x14ac:dyDescent="0.25">
      <c r="A46" s="78" t="s">
        <v>124</v>
      </c>
      <c r="B46" s="77" t="s">
        <v>7</v>
      </c>
      <c r="C46" s="77" t="s">
        <v>7</v>
      </c>
      <c r="D46" s="77" t="s">
        <v>123</v>
      </c>
      <c r="E46" s="77" t="s">
        <v>8</v>
      </c>
      <c r="F46" s="77" t="s">
        <v>9</v>
      </c>
      <c r="G46" s="77" t="s">
        <v>122</v>
      </c>
      <c r="H46" s="77" t="s">
        <v>38</v>
      </c>
      <c r="I46" s="77" t="s">
        <v>11</v>
      </c>
      <c r="J46" s="77" t="s">
        <v>121</v>
      </c>
      <c r="K46" s="77" t="s">
        <v>120</v>
      </c>
      <c r="L46" s="77" t="s">
        <v>101</v>
      </c>
      <c r="M46" s="77" t="s">
        <v>119</v>
      </c>
      <c r="N46" s="77" t="s">
        <v>38</v>
      </c>
      <c r="O46" s="77" t="s">
        <v>10</v>
      </c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W46" s="71"/>
      <c r="AX46" s="71"/>
      <c r="AY46" s="73"/>
      <c r="AZ46" s="73"/>
      <c r="BA46" s="75"/>
      <c r="BB46" s="74"/>
      <c r="BC46" s="73"/>
      <c r="BD46" s="72"/>
      <c r="BE46" s="71"/>
      <c r="BF46" s="71"/>
      <c r="BG46" s="71"/>
      <c r="BH46" s="71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69"/>
      <c r="BV46" s="68"/>
    </row>
    <row r="47" spans="1:74" hidden="1" x14ac:dyDescent="0.25">
      <c r="A47" s="78" t="s">
        <v>118</v>
      </c>
      <c r="B47" s="77"/>
      <c r="C47" s="77"/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W47" s="71"/>
      <c r="AX47" s="71"/>
      <c r="AY47" s="73"/>
      <c r="AZ47" s="73"/>
      <c r="BA47" s="75"/>
      <c r="BB47" s="74"/>
      <c r="BC47" s="73"/>
      <c r="BD47" s="72"/>
      <c r="BE47" s="71"/>
      <c r="BF47" s="71"/>
      <c r="BG47" s="71"/>
      <c r="BH47" s="71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69"/>
      <c r="BV47" s="68"/>
    </row>
    <row r="48" spans="1:74" x14ac:dyDescent="0.25">
      <c r="O48" s="76">
        <f>AVERAGE(O16:O39)</f>
        <v>-6.6581812069443193E-3</v>
      </c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W48" s="71"/>
      <c r="AX48" s="71"/>
      <c r="AY48" s="73"/>
      <c r="AZ48" s="73"/>
      <c r="BA48" s="75"/>
      <c r="BB48" s="74"/>
      <c r="BC48" s="73"/>
      <c r="BD48" s="72"/>
      <c r="BE48" s="71"/>
      <c r="BF48" s="71"/>
      <c r="BG48" s="71"/>
      <c r="BH48" s="71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69"/>
      <c r="BV48" s="68"/>
    </row>
    <row r="49" spans="30:74" x14ac:dyDescent="0.25"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W49" s="71"/>
      <c r="AX49" s="71"/>
      <c r="AY49" s="73"/>
      <c r="AZ49" s="73"/>
      <c r="BA49" s="75"/>
      <c r="BB49" s="74"/>
      <c r="BC49" s="73"/>
      <c r="BD49" s="72"/>
      <c r="BE49" s="71"/>
      <c r="BF49" s="71"/>
      <c r="BG49" s="71"/>
      <c r="BH49" s="71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69"/>
      <c r="BV49" s="68"/>
    </row>
    <row r="50" spans="30:74" x14ac:dyDescent="0.25"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W50" s="71"/>
      <c r="AX50" s="71"/>
      <c r="AY50" s="73"/>
      <c r="AZ50" s="73"/>
      <c r="BA50" s="75"/>
      <c r="BB50" s="74"/>
      <c r="BC50" s="73"/>
      <c r="BD50" s="72"/>
      <c r="BE50" s="71"/>
      <c r="BF50" s="71"/>
      <c r="BG50" s="71"/>
      <c r="BH50" s="71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69"/>
      <c r="BV50" s="68"/>
    </row>
    <row r="51" spans="30:74" x14ac:dyDescent="0.25"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W51" s="71"/>
      <c r="AX51" s="71"/>
      <c r="AY51" s="73"/>
      <c r="AZ51" s="73"/>
      <c r="BA51" s="75"/>
      <c r="BB51" s="74"/>
      <c r="BC51" s="73"/>
      <c r="BD51" s="72"/>
      <c r="BE51" s="71"/>
      <c r="BF51" s="71"/>
      <c r="BG51" s="71"/>
      <c r="BH51" s="71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69"/>
      <c r="BV51" s="68"/>
    </row>
    <row r="52" spans="30:74" x14ac:dyDescent="0.25"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W52" s="71"/>
      <c r="AX52" s="71"/>
      <c r="AY52" s="73"/>
      <c r="AZ52" s="73"/>
      <c r="BA52" s="75"/>
      <c r="BB52" s="74"/>
      <c r="BC52" s="73"/>
      <c r="BD52" s="72"/>
      <c r="BE52" s="71"/>
      <c r="BF52" s="71"/>
      <c r="BG52" s="71"/>
      <c r="BH52" s="71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69"/>
      <c r="BV52" s="68"/>
    </row>
    <row r="53" spans="30:74" x14ac:dyDescent="0.25"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W53" s="71"/>
      <c r="AX53" s="71"/>
      <c r="AY53" s="73"/>
      <c r="AZ53" s="73"/>
      <c r="BA53" s="75"/>
      <c r="BB53" s="74"/>
      <c r="BC53" s="73"/>
      <c r="BD53" s="72"/>
      <c r="BE53" s="71"/>
      <c r="BF53" s="71"/>
      <c r="BG53" s="71"/>
      <c r="BH53" s="71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69"/>
      <c r="BV53" s="68"/>
    </row>
    <row r="54" spans="30:74" x14ac:dyDescent="0.25"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W54" s="71"/>
      <c r="AX54" s="71"/>
      <c r="AY54" s="73"/>
      <c r="AZ54" s="73"/>
      <c r="BA54" s="75"/>
      <c r="BB54" s="74"/>
      <c r="BC54" s="73"/>
      <c r="BD54" s="72"/>
      <c r="BE54" s="71"/>
      <c r="BF54" s="71"/>
      <c r="BG54" s="71"/>
      <c r="BH54" s="71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69"/>
      <c r="BV54" s="68"/>
    </row>
  </sheetData>
  <mergeCells count="113">
    <mergeCell ref="AW10:BV10"/>
    <mergeCell ref="AP10:AQ10"/>
    <mergeCell ref="AP13:AP15"/>
    <mergeCell ref="AQ13:AQ15"/>
    <mergeCell ref="AR13:AR15"/>
    <mergeCell ref="AS13:AS15"/>
    <mergeCell ref="AT13:AT15"/>
    <mergeCell ref="AU13:AU15"/>
    <mergeCell ref="AP28:AP30"/>
    <mergeCell ref="AU19:AU21"/>
    <mergeCell ref="AS16:AS18"/>
    <mergeCell ref="AT16:AT18"/>
    <mergeCell ref="AU16:AU18"/>
    <mergeCell ref="AR19:AR21"/>
    <mergeCell ref="AS19:AS21"/>
    <mergeCell ref="AT19:AT21"/>
    <mergeCell ref="AP31:AP33"/>
    <mergeCell ref="AP34:AP36"/>
    <mergeCell ref="AP37:AP39"/>
    <mergeCell ref="AQ16:AQ18"/>
    <mergeCell ref="AQ19:AQ21"/>
    <mergeCell ref="AQ22:AQ24"/>
    <mergeCell ref="AQ25:AQ27"/>
    <mergeCell ref="AQ28:AQ30"/>
    <mergeCell ref="AQ31:AQ33"/>
    <mergeCell ref="Q10:U10"/>
    <mergeCell ref="AE10:AF10"/>
    <mergeCell ref="AE13:AE15"/>
    <mergeCell ref="AF13:AF15"/>
    <mergeCell ref="AG13:AG15"/>
    <mergeCell ref="AT25:AT27"/>
    <mergeCell ref="AU25:AU27"/>
    <mergeCell ref="AR16:AR18"/>
    <mergeCell ref="AR37:AR39"/>
    <mergeCell ref="AS37:AS39"/>
    <mergeCell ref="AT37:AT39"/>
    <mergeCell ref="AU37:AU39"/>
    <mergeCell ref="AR28:AR30"/>
    <mergeCell ref="AS28:AS30"/>
    <mergeCell ref="AT28:AT30"/>
    <mergeCell ref="AU28:AU30"/>
    <mergeCell ref="AR31:AR33"/>
    <mergeCell ref="AS31:AS33"/>
    <mergeCell ref="AQ34:AQ36"/>
    <mergeCell ref="AQ37:AQ39"/>
    <mergeCell ref="AP16:AP18"/>
    <mergeCell ref="AP19:AP21"/>
    <mergeCell ref="AP22:AP24"/>
    <mergeCell ref="AP25:AP27"/>
    <mergeCell ref="AR34:AR36"/>
    <mergeCell ref="AS34:AS36"/>
    <mergeCell ref="AT34:AT36"/>
    <mergeCell ref="AU34:AU36"/>
    <mergeCell ref="AR22:AR24"/>
    <mergeCell ref="AS22:AS24"/>
    <mergeCell ref="AT22:AT24"/>
    <mergeCell ref="AU22:AU24"/>
    <mergeCell ref="AR25:AR27"/>
    <mergeCell ref="AS25:AS27"/>
    <mergeCell ref="AT31:AT33"/>
    <mergeCell ref="AU31:AU33"/>
    <mergeCell ref="AH13:AH15"/>
    <mergeCell ref="AI13:AI15"/>
    <mergeCell ref="AJ13:AJ15"/>
    <mergeCell ref="AE16:AE18"/>
    <mergeCell ref="AF16:AF18"/>
    <mergeCell ref="AG16:AG18"/>
    <mergeCell ref="AH16:AH18"/>
    <mergeCell ref="AI16:AI18"/>
    <mergeCell ref="AJ16:AJ18"/>
    <mergeCell ref="AM9:AU9"/>
    <mergeCell ref="AE37:AE39"/>
    <mergeCell ref="AF37:AF39"/>
    <mergeCell ref="AG37:AG39"/>
    <mergeCell ref="AH37:AH39"/>
    <mergeCell ref="AI37:AI39"/>
    <mergeCell ref="AJ31:AJ33"/>
    <mergeCell ref="AJ19:AJ21"/>
    <mergeCell ref="AE22:AE24"/>
    <mergeCell ref="AF22:AF24"/>
    <mergeCell ref="AG22:AG24"/>
    <mergeCell ref="AH22:AH24"/>
    <mergeCell ref="AI22:AI24"/>
    <mergeCell ref="AJ22:AJ24"/>
    <mergeCell ref="AE19:AE21"/>
    <mergeCell ref="AF19:AF21"/>
    <mergeCell ref="AG19:AG21"/>
    <mergeCell ref="AI28:AI30"/>
    <mergeCell ref="AJ28:AJ30"/>
    <mergeCell ref="AE25:AE27"/>
    <mergeCell ref="AF25:AF27"/>
    <mergeCell ref="AG25:AG27"/>
    <mergeCell ref="AH25:AH27"/>
    <mergeCell ref="AI25:AI27"/>
    <mergeCell ref="AE34:AE36"/>
    <mergeCell ref="AF34:AF36"/>
    <mergeCell ref="AG34:AG36"/>
    <mergeCell ref="AH34:AH36"/>
    <mergeCell ref="AI34:AI36"/>
    <mergeCell ref="AJ34:AJ36"/>
    <mergeCell ref="AH19:AH21"/>
    <mergeCell ref="AI19:AI21"/>
    <mergeCell ref="AJ37:AJ39"/>
    <mergeCell ref="AE31:AE33"/>
    <mergeCell ref="AF31:AF33"/>
    <mergeCell ref="AG31:AG33"/>
    <mergeCell ref="AH31:AH33"/>
    <mergeCell ref="AI31:AI33"/>
    <mergeCell ref="AJ25:AJ27"/>
    <mergeCell ref="AE28:AE30"/>
    <mergeCell ref="AF28:AF30"/>
    <mergeCell ref="AG28:AG30"/>
    <mergeCell ref="AH28:AH30"/>
  </mergeCells>
  <conditionalFormatting sqref="AG13:AG39">
    <cfRule type="cellIs" dxfId="17" priority="1" operator="greaterThan">
      <formula>0.15</formula>
    </cfRule>
  </conditionalFormatting>
  <conditionalFormatting sqref="AR13:AR39">
    <cfRule type="cellIs" dxfId="16" priority="2" operator="greaterThan">
      <formula>0.15</formula>
    </cfRule>
  </conditionalFormatting>
  <pageMargins left="0.75" right="0.75" top="0.75" bottom="0.5" header="0.5" footer="0.7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55075-4EB4-4EC7-9761-69F8E810D439}">
  <sheetPr codeName="Sheet12">
    <tabColor rgb="FFFFFF00"/>
  </sheetPr>
  <dimension ref="A1:BV61"/>
  <sheetViews>
    <sheetView zoomScale="85" zoomScaleNormal="85" workbookViewId="0">
      <selection activeCell="X12" sqref="X12"/>
    </sheetView>
  </sheetViews>
  <sheetFormatPr defaultColWidth="12.7109375" defaultRowHeight="15" x14ac:dyDescent="0.25"/>
  <cols>
    <col min="1" max="1" width="20.7109375" style="67" customWidth="1"/>
    <col min="2" max="15" width="12.7109375" style="67" customWidth="1"/>
    <col min="16" max="16" width="12.7109375" style="67"/>
    <col min="17" max="18" width="19.140625" style="67" bestFit="1" customWidth="1"/>
    <col min="19" max="16384" width="12.7109375" style="67"/>
  </cols>
  <sheetData>
    <row r="1" spans="1:74" ht="23.25" x14ac:dyDescent="0.35">
      <c r="A1" s="139" t="s">
        <v>184</v>
      </c>
      <c r="BK1" s="137" t="s">
        <v>183</v>
      </c>
      <c r="BL1" s="137">
        <f>'[1](TBL) Coriolis N2 10 bar'!BL1</f>
        <v>8.20304581916039E-2</v>
      </c>
    </row>
    <row r="2" spans="1:74" ht="21" x14ac:dyDescent="0.35">
      <c r="BK2" s="137" t="s">
        <v>182</v>
      </c>
      <c r="BL2" s="137">
        <f>'[1](TBL) Coriolis N2 10 bar'!BL2</f>
        <v>-1.2922266296989613E-2</v>
      </c>
    </row>
    <row r="3" spans="1:74" ht="21" x14ac:dyDescent="0.35">
      <c r="A3" s="78" t="s">
        <v>181</v>
      </c>
      <c r="B3" s="77" t="s">
        <v>180</v>
      </c>
      <c r="BD3" s="138">
        <f>MAX(BD13:BD53)</f>
        <v>5778303.2905514501</v>
      </c>
      <c r="BK3" s="137" t="s">
        <v>179</v>
      </c>
      <c r="BL3" s="137">
        <f>'[1](TBL) Coriolis N2 10 bar'!BL3</f>
        <v>-0.11908411135793115</v>
      </c>
    </row>
    <row r="4" spans="1:74" ht="21" x14ac:dyDescent="0.35">
      <c r="A4" s="78" t="s">
        <v>54</v>
      </c>
      <c r="B4" s="77" t="s">
        <v>187</v>
      </c>
      <c r="BD4" s="138">
        <f>MIN(BD13:BD53)</f>
        <v>719576.95037797699</v>
      </c>
      <c r="BK4" s="137" t="s">
        <v>177</v>
      </c>
      <c r="BL4" s="137">
        <f>'[1](TBL) Coriolis N2 10 bar'!BL4</f>
        <v>-6.7147345489652774E-2</v>
      </c>
    </row>
    <row r="5" spans="1:74" ht="21" x14ac:dyDescent="0.35">
      <c r="A5" s="78" t="s">
        <v>176</v>
      </c>
      <c r="B5" s="77" t="s">
        <v>186</v>
      </c>
      <c r="AC5" s="149">
        <v>0</v>
      </c>
      <c r="BK5" s="137" t="s">
        <v>175</v>
      </c>
      <c r="BL5" s="137">
        <f>'[1](TBL) Coriolis N2 10 bar'!BL5</f>
        <v>0.12150091665862671</v>
      </c>
    </row>
    <row r="6" spans="1:74" ht="21" x14ac:dyDescent="0.35">
      <c r="A6" s="78" t="s">
        <v>174</v>
      </c>
      <c r="B6" s="77" t="s">
        <v>186</v>
      </c>
      <c r="M6" s="76"/>
      <c r="BK6" s="137" t="s">
        <v>172</v>
      </c>
      <c r="BL6" s="137">
        <f>'[1](TBL) Coriolis N2 10 bar'!BL6</f>
        <v>-1.1760973620189581E-4</v>
      </c>
    </row>
    <row r="7" spans="1:74" ht="21" x14ac:dyDescent="0.35">
      <c r="A7" s="78"/>
      <c r="B7" s="77"/>
      <c r="M7" s="76"/>
      <c r="AQ7" s="79">
        <f>AVERAGE(AQ13:AQ86)</f>
        <v>0.1817384348408102</v>
      </c>
      <c r="AU7" s="76">
        <f>MIN(AU13:AU79)</f>
        <v>0.25021213208842835</v>
      </c>
      <c r="BK7" s="137" t="s">
        <v>171</v>
      </c>
      <c r="BL7" s="137">
        <f>'[1](TBL) Coriolis N2 10 bar'!BL7</f>
        <v>-1.6600711533985849E-2</v>
      </c>
    </row>
    <row r="8" spans="1:74" ht="21" x14ac:dyDescent="0.35">
      <c r="A8" s="78"/>
      <c r="B8" s="77"/>
      <c r="M8" s="76"/>
      <c r="AU8" s="76">
        <f>MAX(AU13:AU205)</f>
        <v>0.40416966116720582</v>
      </c>
      <c r="BK8" s="137" t="s">
        <v>170</v>
      </c>
      <c r="BL8" s="137">
        <f>'[1](TBL) Coriolis N2 10 bar'!BL8</f>
        <v>-4.2815480982609365E-2</v>
      </c>
    </row>
    <row r="9" spans="1:74" x14ac:dyDescent="0.25">
      <c r="A9" s="78"/>
      <c r="B9" s="77"/>
      <c r="M9" s="76"/>
      <c r="AM9" s="201" t="s">
        <v>169</v>
      </c>
      <c r="AN9" s="202"/>
      <c r="AO9" s="202"/>
      <c r="AP9" s="202"/>
      <c r="AQ9" s="202"/>
      <c r="AR9" s="202"/>
      <c r="AS9" s="202"/>
      <c r="AT9" s="202"/>
      <c r="AU9" s="203"/>
    </row>
    <row r="10" spans="1:74" x14ac:dyDescent="0.25">
      <c r="C10" s="82"/>
      <c r="D10" s="79"/>
      <c r="E10" s="79"/>
      <c r="F10" s="76"/>
      <c r="G10" s="76"/>
      <c r="H10" s="79"/>
      <c r="I10" s="79"/>
      <c r="J10" s="81"/>
      <c r="K10" s="80"/>
      <c r="L10" s="79"/>
      <c r="M10" s="76"/>
      <c r="N10" s="79"/>
      <c r="O10" s="76"/>
      <c r="Q10" s="205" t="s">
        <v>168</v>
      </c>
      <c r="R10" s="206"/>
      <c r="S10" s="206"/>
      <c r="T10" s="206"/>
      <c r="U10" s="207"/>
      <c r="AA10" s="136"/>
      <c r="AB10" s="136"/>
      <c r="AC10" s="136"/>
      <c r="AE10" s="205" t="s">
        <v>167</v>
      </c>
      <c r="AF10" s="207"/>
      <c r="AP10" s="210" t="s">
        <v>167</v>
      </c>
      <c r="AQ10" s="211"/>
      <c r="AW10" s="201" t="s">
        <v>166</v>
      </c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3"/>
    </row>
    <row r="11" spans="1:74" ht="60" x14ac:dyDescent="0.25">
      <c r="B11" s="135" t="s">
        <v>1</v>
      </c>
      <c r="C11" s="134" t="s">
        <v>0</v>
      </c>
      <c r="D11" s="122" t="s">
        <v>165</v>
      </c>
      <c r="E11" s="122" t="s">
        <v>164</v>
      </c>
      <c r="F11" s="131" t="s">
        <v>154</v>
      </c>
      <c r="G11" s="131" t="s">
        <v>153</v>
      </c>
      <c r="H11" s="122" t="s">
        <v>137</v>
      </c>
      <c r="I11" s="122" t="s">
        <v>152</v>
      </c>
      <c r="J11" s="130" t="s">
        <v>151</v>
      </c>
      <c r="K11" s="129" t="s">
        <v>150</v>
      </c>
      <c r="L11" s="122" t="s">
        <v>149</v>
      </c>
      <c r="M11" s="131" t="s">
        <v>139</v>
      </c>
      <c r="N11" s="122" t="s">
        <v>160</v>
      </c>
      <c r="O11" s="131" t="s">
        <v>159</v>
      </c>
      <c r="Q11" s="132" t="s">
        <v>154</v>
      </c>
      <c r="R11" s="132" t="s">
        <v>163</v>
      </c>
      <c r="S11" s="133" t="s">
        <v>162</v>
      </c>
      <c r="T11" s="133" t="s">
        <v>93</v>
      </c>
      <c r="U11" s="133" t="s">
        <v>161</v>
      </c>
      <c r="V11" s="122" t="s">
        <v>94</v>
      </c>
      <c r="W11" s="122" t="s">
        <v>95</v>
      </c>
      <c r="X11" s="122" t="s">
        <v>96</v>
      </c>
      <c r="Y11" s="122" t="s">
        <v>97</v>
      </c>
      <c r="Z11" s="122" t="s">
        <v>98</v>
      </c>
      <c r="AA11" s="133" t="s">
        <v>99</v>
      </c>
      <c r="AB11" s="133" t="s">
        <v>160</v>
      </c>
      <c r="AC11" s="132" t="s">
        <v>159</v>
      </c>
      <c r="AD11" s="122" t="s">
        <v>137</v>
      </c>
      <c r="AE11" s="133" t="s">
        <v>137</v>
      </c>
      <c r="AF11" s="132" t="s">
        <v>159</v>
      </c>
      <c r="AG11" s="132" t="s">
        <v>158</v>
      </c>
      <c r="AH11" s="132" t="s">
        <v>157</v>
      </c>
      <c r="AI11" s="132" t="s">
        <v>156</v>
      </c>
      <c r="AJ11" s="132" t="s">
        <v>155</v>
      </c>
      <c r="AM11" s="133" t="s">
        <v>160</v>
      </c>
      <c r="AN11" s="131" t="s">
        <v>159</v>
      </c>
      <c r="AO11" s="122" t="s">
        <v>137</v>
      </c>
      <c r="AP11" s="133" t="s">
        <v>137</v>
      </c>
      <c r="AQ11" s="132" t="s">
        <v>159</v>
      </c>
      <c r="AR11" s="132" t="s">
        <v>158</v>
      </c>
      <c r="AS11" s="132" t="s">
        <v>157</v>
      </c>
      <c r="AT11" s="132" t="s">
        <v>156</v>
      </c>
      <c r="AU11" s="132" t="s">
        <v>155</v>
      </c>
      <c r="AW11" s="131" t="s">
        <v>154</v>
      </c>
      <c r="AX11" s="131" t="s">
        <v>153</v>
      </c>
      <c r="AY11" s="122" t="s">
        <v>146</v>
      </c>
      <c r="AZ11" s="122" t="s">
        <v>152</v>
      </c>
      <c r="BA11" s="130" t="s">
        <v>151</v>
      </c>
      <c r="BB11" s="129" t="s">
        <v>150</v>
      </c>
      <c r="BC11" s="122" t="s">
        <v>149</v>
      </c>
      <c r="BD11" s="124" t="s">
        <v>145</v>
      </c>
      <c r="BE11" s="128" t="s">
        <v>148</v>
      </c>
      <c r="BF11" s="127" t="s">
        <v>147</v>
      </c>
      <c r="BG11" s="126" t="s">
        <v>144</v>
      </c>
      <c r="BH11" s="125" t="s">
        <v>143</v>
      </c>
      <c r="BI11" s="124" t="s">
        <v>142</v>
      </c>
      <c r="BJ11" s="124" t="s">
        <v>141</v>
      </c>
      <c r="BK11" s="124" t="s">
        <v>140</v>
      </c>
      <c r="BL11" s="123" t="s">
        <v>139</v>
      </c>
      <c r="BM11" s="124" t="s">
        <v>146</v>
      </c>
      <c r="BN11" s="124" t="s">
        <v>145</v>
      </c>
      <c r="BO11" s="126" t="s">
        <v>144</v>
      </c>
      <c r="BP11" s="125" t="s">
        <v>143</v>
      </c>
      <c r="BQ11" s="124" t="s">
        <v>142</v>
      </c>
      <c r="BR11" s="124" t="s">
        <v>141</v>
      </c>
      <c r="BS11" s="124" t="s">
        <v>140</v>
      </c>
      <c r="BT11" s="123" t="s">
        <v>139</v>
      </c>
      <c r="BU11" s="124" t="s">
        <v>138</v>
      </c>
      <c r="BV11" s="122" t="s">
        <v>137</v>
      </c>
    </row>
    <row r="12" spans="1:74" ht="17.25" x14ac:dyDescent="0.25">
      <c r="B12" s="121" t="s">
        <v>7</v>
      </c>
      <c r="C12" s="120" t="s">
        <v>7</v>
      </c>
      <c r="D12" s="109" t="s">
        <v>123</v>
      </c>
      <c r="E12" s="109" t="s">
        <v>8</v>
      </c>
      <c r="F12" s="118" t="s">
        <v>9</v>
      </c>
      <c r="G12" s="118" t="s">
        <v>122</v>
      </c>
      <c r="H12" s="109" t="s">
        <v>38</v>
      </c>
      <c r="I12" s="109" t="s">
        <v>11</v>
      </c>
      <c r="J12" s="117" t="s">
        <v>121</v>
      </c>
      <c r="K12" s="116" t="s">
        <v>120</v>
      </c>
      <c r="L12" s="109" t="s">
        <v>101</v>
      </c>
      <c r="M12" s="118" t="s">
        <v>119</v>
      </c>
      <c r="N12" s="109" t="s">
        <v>38</v>
      </c>
      <c r="O12" s="118" t="s">
        <v>10</v>
      </c>
      <c r="Q12" s="118" t="s">
        <v>9</v>
      </c>
      <c r="R12" s="118" t="s">
        <v>136</v>
      </c>
      <c r="S12" s="109" t="s">
        <v>11</v>
      </c>
      <c r="T12" s="109" t="s">
        <v>100</v>
      </c>
      <c r="U12" s="109" t="s">
        <v>7</v>
      </c>
      <c r="V12" s="109" t="s">
        <v>101</v>
      </c>
      <c r="W12" s="109" t="s">
        <v>102</v>
      </c>
      <c r="X12" s="109" t="s">
        <v>102</v>
      </c>
      <c r="Y12" s="109" t="s">
        <v>7</v>
      </c>
      <c r="Z12" s="109" t="s">
        <v>7</v>
      </c>
      <c r="AA12" s="109" t="s">
        <v>7</v>
      </c>
      <c r="AB12" s="109" t="s">
        <v>38</v>
      </c>
      <c r="AC12" s="118" t="s">
        <v>10</v>
      </c>
      <c r="AD12" s="109" t="s">
        <v>38</v>
      </c>
      <c r="AE12" s="109" t="s">
        <v>38</v>
      </c>
      <c r="AF12" s="118" t="s">
        <v>10</v>
      </c>
      <c r="AG12" s="119" t="s">
        <v>10</v>
      </c>
      <c r="AH12" s="119" t="s">
        <v>10</v>
      </c>
      <c r="AI12" s="119" t="s">
        <v>10</v>
      </c>
      <c r="AJ12" s="119" t="s">
        <v>10</v>
      </c>
      <c r="AM12" s="109" t="s">
        <v>38</v>
      </c>
      <c r="AN12" s="118" t="s">
        <v>10</v>
      </c>
      <c r="AO12" s="109" t="s">
        <v>38</v>
      </c>
      <c r="AP12" s="109" t="s">
        <v>38</v>
      </c>
      <c r="AQ12" s="118" t="s">
        <v>10</v>
      </c>
      <c r="AR12" s="119" t="s">
        <v>10</v>
      </c>
      <c r="AS12" s="119" t="s">
        <v>10</v>
      </c>
      <c r="AT12" s="119" t="s">
        <v>10</v>
      </c>
      <c r="AU12" s="119" t="s">
        <v>10</v>
      </c>
      <c r="AW12" s="118" t="s">
        <v>9</v>
      </c>
      <c r="AX12" s="118" t="s">
        <v>122</v>
      </c>
      <c r="AY12" s="109" t="s">
        <v>133</v>
      </c>
      <c r="AZ12" s="109" t="s">
        <v>11</v>
      </c>
      <c r="BA12" s="117" t="s">
        <v>121</v>
      </c>
      <c r="BB12" s="116" t="s">
        <v>120</v>
      </c>
      <c r="BC12" s="109" t="s">
        <v>101</v>
      </c>
      <c r="BD12" s="114" t="s">
        <v>7</v>
      </c>
      <c r="BE12" s="115" t="s">
        <v>7</v>
      </c>
      <c r="BF12" s="113" t="s">
        <v>135</v>
      </c>
      <c r="BG12" s="113" t="s">
        <v>7</v>
      </c>
      <c r="BH12" s="113" t="s">
        <v>10</v>
      </c>
      <c r="BI12" s="112" t="s">
        <v>10</v>
      </c>
      <c r="BJ12" s="111" t="s">
        <v>10</v>
      </c>
      <c r="BK12" s="111" t="s">
        <v>10</v>
      </c>
      <c r="BL12" s="110" t="s">
        <v>134</v>
      </c>
      <c r="BM12" s="114" t="s">
        <v>133</v>
      </c>
      <c r="BN12" s="114" t="s">
        <v>7</v>
      </c>
      <c r="BO12" s="113" t="s">
        <v>7</v>
      </c>
      <c r="BP12" s="113" t="s">
        <v>10</v>
      </c>
      <c r="BQ12" s="112" t="s">
        <v>10</v>
      </c>
      <c r="BR12" s="111" t="s">
        <v>10</v>
      </c>
      <c r="BS12" s="111" t="s">
        <v>10</v>
      </c>
      <c r="BT12" s="110" t="s">
        <v>134</v>
      </c>
      <c r="BU12" s="114" t="s">
        <v>133</v>
      </c>
      <c r="BV12" s="108" t="s">
        <v>38</v>
      </c>
    </row>
    <row r="13" spans="1:74" x14ac:dyDescent="0.25">
      <c r="B13" s="99">
        <v>8</v>
      </c>
      <c r="C13" s="98">
        <v>45237.524930555599</v>
      </c>
      <c r="D13" s="73">
        <v>184.3922</v>
      </c>
      <c r="E13" s="73">
        <v>0.98073428415300501</v>
      </c>
      <c r="F13" s="71">
        <v>20.010241014161</v>
      </c>
      <c r="G13" s="71">
        <v>60.895866732334397</v>
      </c>
      <c r="H13" s="73">
        <f t="shared" ref="H13:H54" si="0">BV13</f>
        <v>12.935597639355807</v>
      </c>
      <c r="I13" s="73">
        <v>71.512197093597706</v>
      </c>
      <c r="J13" s="75">
        <v>1.8720819860402899E-5</v>
      </c>
      <c r="K13" s="74">
        <v>238603</v>
      </c>
      <c r="L13" s="73">
        <v>1293.9972515106399</v>
      </c>
      <c r="M13" s="71">
        <v>100.037667123936</v>
      </c>
      <c r="N13" s="73">
        <v>12.939972515106399</v>
      </c>
      <c r="O13" s="71">
        <f t="shared" ref="O13:O54" si="1">(N13-H13)/H13*100</f>
        <v>3.3820437776157015E-2</v>
      </c>
      <c r="Q13" s="97">
        <f t="shared" ref="Q13:Q54" si="2">F13</f>
        <v>20.010241014161</v>
      </c>
      <c r="R13" s="97">
        <f t="shared" ref="R13:R54" si="3">G13+E13</f>
        <v>61.876601016487399</v>
      </c>
      <c r="S13" s="67">
        <v>71.513738524220003</v>
      </c>
      <c r="T13" s="67">
        <v>362.31218665688698</v>
      </c>
      <c r="U13" s="67">
        <v>1.517151382982</v>
      </c>
      <c r="V13" s="67">
        <v>92.97</v>
      </c>
      <c r="W13" s="67">
        <v>44.7</v>
      </c>
      <c r="X13" s="67">
        <f t="shared" ref="X13:X54" si="4">W13/2/1000</f>
        <v>2.2350000000000002E-2</v>
      </c>
      <c r="Y13" s="67">
        <v>1</v>
      </c>
      <c r="Z13" s="67">
        <f t="shared" ref="Z13:Z54" si="5">1/(1+Y13*0.5*(2*PI()*V13/T13*X13)^2)</f>
        <v>0.99935118227733089</v>
      </c>
      <c r="AA13" s="67">
        <f t="shared" ref="AA13:AA54" si="6">1/(1-0.0077/100*((G13)-2.06843))</f>
        <v>1.0045503242897884</v>
      </c>
      <c r="AB13" s="67">
        <f t="shared" ref="AB13:AB54" si="7">N13*AA13*Z13</f>
        <v>12.990419699769877</v>
      </c>
      <c r="AC13" s="67">
        <f t="shared" ref="AC13:AC53" si="8">(AB13-H13)/H13*100-$AC$5</f>
        <v>0.42380771219473429</v>
      </c>
      <c r="AD13" s="76">
        <f t="shared" ref="AD13:AD54" si="9">H13</f>
        <v>12.935597639355807</v>
      </c>
      <c r="AE13" s="148"/>
      <c r="AF13" s="148"/>
      <c r="AG13" s="147"/>
      <c r="AH13" s="147"/>
      <c r="AI13" s="147"/>
      <c r="AJ13" s="147"/>
      <c r="AK13" s="76"/>
      <c r="AL13" s="76"/>
      <c r="AM13" s="95"/>
      <c r="AN13" s="95"/>
      <c r="AO13" s="76"/>
      <c r="AP13" s="148"/>
      <c r="AQ13" s="148"/>
      <c r="AR13" s="147"/>
      <c r="AS13" s="147"/>
      <c r="AT13" s="147"/>
      <c r="AU13" s="147"/>
      <c r="AW13" s="71">
        <v>20.260155778373999</v>
      </c>
      <c r="AX13" s="71">
        <v>59.665381686599602</v>
      </c>
      <c r="AY13" s="73">
        <v>664.97239372118804</v>
      </c>
      <c r="AZ13" s="73">
        <v>70.0275098413412</v>
      </c>
      <c r="BA13" s="75">
        <v>1.87022826729906E-5</v>
      </c>
      <c r="BB13" s="74">
        <v>197506</v>
      </c>
      <c r="BC13" s="73">
        <v>1071.11906035071</v>
      </c>
      <c r="BD13" s="146">
        <f t="shared" ref="BD13:BD54" si="10">4*(BF13/3600*AZ13)/(BA13*PI()*0.1524)</f>
        <v>5778303.2905514501</v>
      </c>
      <c r="BE13" s="145">
        <v>5798.78</v>
      </c>
      <c r="BF13" s="144">
        <f t="shared" ref="BF13:BF54" si="11">BC13/BE13*3600</f>
        <v>664.97239372118895</v>
      </c>
      <c r="BG13" s="68">
        <f t="shared" ref="BG13:BG54" si="12">LOG(BD13/10^6)</f>
        <v>0.76180033327766028</v>
      </c>
      <c r="BH13" s="140">
        <f t="shared" ref="BH13:BH54" si="13">$BL$1+$BL$2*BG13+$BL$3*BG13^2+$BL$4*BG13^3+$BL$5*BG13^4</f>
        <v>1.4311791297478695E-2</v>
      </c>
      <c r="BI13" s="140">
        <f t="shared" ref="BI13:BI54" si="14">$BL$6/(AZ13*(BF13/3600)^2)+$BL$7/(AZ13*BF13/3600)</f>
        <v>-1.3326083245666824E-3</v>
      </c>
      <c r="BJ13" s="141">
        <f t="shared" ref="BJ13:BJ54" si="15">$BL$8*AZ13*BF13/3600/(AX13+E13)</f>
        <v>-9.1320363925910149E-3</v>
      </c>
      <c r="BK13" s="140">
        <f t="shared" ref="BK13:BK54" si="16">BH13+BI13+BJ13</f>
        <v>3.8471465803209988E-3</v>
      </c>
      <c r="BL13" s="143">
        <f t="shared" ref="BL13:BL54" si="17">BE13-BE13/100*BK13</f>
        <v>5798.5569124335298</v>
      </c>
      <c r="BM13" s="71">
        <f t="shared" ref="BM13:BM54" si="18">BC13/BL13*3600</f>
        <v>664.99797716812668</v>
      </c>
      <c r="BN13" s="142">
        <f t="shared" ref="BN13:BN54" si="19">4*(BM13/3600*AZ13)/(BA13*PI()*0.1524)</f>
        <v>5778525.5989014208</v>
      </c>
      <c r="BO13" s="68">
        <f t="shared" ref="BO13:BO54" si="20">LOG(BN13/10^6)</f>
        <v>0.76181704154436714</v>
      </c>
      <c r="BP13" s="140">
        <f t="shared" ref="BP13:BP54" si="21">$BL$1+$BL$2*BO13+$BL$3*BO13^2+$BL$4*BO13^3+$BL$5*BO13^4</f>
        <v>1.431018066204234E-2</v>
      </c>
      <c r="BQ13" s="140">
        <f t="shared" ref="BQ13:BQ54" si="22">$BL$6/(AZ13*(BM13/3600)^2)+$BL$7/(AZ13*BM13/3600)</f>
        <v>-1.3325551635443116E-3</v>
      </c>
      <c r="BR13" s="141">
        <f t="shared" ref="BR13:BR54" si="23">$BL$8*AZ13*BM13/3600/(AX13+E13)</f>
        <v>-9.1323877289332285E-3</v>
      </c>
      <c r="BS13" s="140">
        <f t="shared" ref="BS13:BS54" si="24">BP13+BQ13+BR13</f>
        <v>3.8452377695648004E-3</v>
      </c>
      <c r="BT13" s="71">
        <f t="shared" ref="BT13:BT54" si="25">BE13-BE13/100*BS13</f>
        <v>5798.557023121266</v>
      </c>
      <c r="BU13" s="69">
        <f t="shared" ref="BU13:BU54" si="26">BC13/BT13*3600</f>
        <v>664.99796447408573</v>
      </c>
      <c r="BV13" s="68">
        <f t="shared" ref="BV13:BV54" si="27">BU13/3600*AZ13</f>
        <v>12.935597639355807</v>
      </c>
    </row>
    <row r="14" spans="1:74" x14ac:dyDescent="0.25">
      <c r="B14" s="99">
        <v>11</v>
      </c>
      <c r="C14" s="98">
        <v>45237.537696759297</v>
      </c>
      <c r="D14" s="73">
        <v>185.61108999999999</v>
      </c>
      <c r="E14" s="73">
        <v>0.98084849456521706</v>
      </c>
      <c r="F14" s="71">
        <v>19.981772309564999</v>
      </c>
      <c r="G14" s="71">
        <v>60.773369346552798</v>
      </c>
      <c r="H14" s="73">
        <f t="shared" si="0"/>
        <v>11.435101667030837</v>
      </c>
      <c r="I14" s="73">
        <v>71.379259196474294</v>
      </c>
      <c r="J14" s="75">
        <v>1.8716786936269801E-5</v>
      </c>
      <c r="K14" s="74">
        <v>211842</v>
      </c>
      <c r="L14" s="73">
        <v>1141.32188976424</v>
      </c>
      <c r="M14" s="71">
        <v>99.818901789311298</v>
      </c>
      <c r="N14" s="73">
        <v>11.4132188976424</v>
      </c>
      <c r="O14" s="71">
        <f t="shared" si="1"/>
        <v>-0.19136488704362412</v>
      </c>
      <c r="Q14" s="97">
        <f t="shared" si="2"/>
        <v>19.981772309564999</v>
      </c>
      <c r="R14" s="97">
        <f t="shared" si="3"/>
        <v>61.754217841118013</v>
      </c>
      <c r="S14" s="67">
        <v>71.380802618090996</v>
      </c>
      <c r="T14" s="67">
        <v>362.25790558883199</v>
      </c>
      <c r="U14" s="67">
        <v>1.5168776251110001</v>
      </c>
      <c r="V14" s="67">
        <v>92.97</v>
      </c>
      <c r="W14" s="67">
        <v>44.7</v>
      </c>
      <c r="X14" s="67">
        <f t="shared" si="4"/>
        <v>2.2350000000000002E-2</v>
      </c>
      <c r="Y14" s="67">
        <v>1</v>
      </c>
      <c r="Z14" s="67">
        <f t="shared" si="5"/>
        <v>0.99935098795004063</v>
      </c>
      <c r="AA14" s="67">
        <f t="shared" si="6"/>
        <v>1.0045408060459349</v>
      </c>
      <c r="AB14" s="67">
        <f t="shared" si="7"/>
        <v>11.457603159235028</v>
      </c>
      <c r="AC14" s="67">
        <f t="shared" si="8"/>
        <v>0.19677562001101986</v>
      </c>
      <c r="AD14" s="76">
        <f t="shared" si="9"/>
        <v>11.435101667030837</v>
      </c>
      <c r="AE14" s="209">
        <f>AVERAGE(AD14:AD18)</f>
        <v>11.431814239617598</v>
      </c>
      <c r="AF14" s="209">
        <f>AVERAGE(AC14:AC18)</f>
        <v>0.28542750286071344</v>
      </c>
      <c r="AG14" s="200">
        <f>STDEV(AC14:AC18)</f>
        <v>7.7902768484705828E-2</v>
      </c>
      <c r="AH14" s="200">
        <f>AG14*2.776/SQRT(2)</f>
        <v>0.15291755861162543</v>
      </c>
      <c r="AI14" s="200">
        <v>0.25</v>
      </c>
      <c r="AJ14" s="200">
        <f>SQRT(AI14^2+AH14^2)</f>
        <v>0.2930593450680935</v>
      </c>
      <c r="AK14" s="76"/>
      <c r="AL14" s="76"/>
      <c r="AM14" s="95">
        <f t="shared" ref="AM14:AM54" si="28">N14*AA14</f>
        <v>11.465044111016393</v>
      </c>
      <c r="AN14" s="95">
        <f t="shared" ref="AN14:AN54" si="29">(AM14-H14)/H14*100</f>
        <v>0.26184676671379931</v>
      </c>
      <c r="AO14" s="76">
        <f t="shared" ref="AO14:AO54" si="30">H14</f>
        <v>11.435101667030837</v>
      </c>
      <c r="AP14" s="209">
        <f>AVERAGE(AO14:AO18)</f>
        <v>11.431814239617598</v>
      </c>
      <c r="AQ14" s="209">
        <f>AVERAGE(AN14:AN18)</f>
        <v>0.35055937802241566</v>
      </c>
      <c r="AR14" s="200">
        <f>STDEV(AN14:AN18)</f>
        <v>7.7954359391670378E-2</v>
      </c>
      <c r="AS14" s="200">
        <f>AR14*2.776/SQRT(2)</f>
        <v>0.15301882786935567</v>
      </c>
      <c r="AT14" s="200">
        <v>0.25</v>
      </c>
      <c r="AU14" s="200">
        <f>SQRT(AT14^2+AS14^2)</f>
        <v>0.29311219981862152</v>
      </c>
      <c r="AW14" s="71">
        <v>20.132251759451002</v>
      </c>
      <c r="AX14" s="71">
        <v>59.814749979037003</v>
      </c>
      <c r="AY14" s="73">
        <v>586.06812521659799</v>
      </c>
      <c r="AZ14" s="73">
        <v>70.234380859189201</v>
      </c>
      <c r="BA14" s="75">
        <v>1.8700526243240099E-5</v>
      </c>
      <c r="BB14" s="74">
        <v>175221</v>
      </c>
      <c r="BC14" s="73">
        <v>944.02225642875101</v>
      </c>
      <c r="BD14" s="146">
        <f t="shared" si="10"/>
        <v>5108185.7711041439</v>
      </c>
      <c r="BE14" s="145">
        <v>5798.78</v>
      </c>
      <c r="BF14" s="144">
        <f t="shared" si="11"/>
        <v>586.06812521659788</v>
      </c>
      <c r="BG14" s="68">
        <f t="shared" si="12"/>
        <v>0.70826668301157392</v>
      </c>
      <c r="BH14" s="140">
        <f t="shared" si="13"/>
        <v>1.9858326208886345E-2</v>
      </c>
      <c r="BI14" s="140">
        <f t="shared" si="14"/>
        <v>-1.5150653771301729E-3</v>
      </c>
      <c r="BJ14" s="141">
        <f t="shared" si="15"/>
        <v>-8.052376051413174E-3</v>
      </c>
      <c r="BK14" s="140">
        <f t="shared" si="16"/>
        <v>1.0290884780342997E-2</v>
      </c>
      <c r="BL14" s="143">
        <f t="shared" si="17"/>
        <v>5798.1832542315342</v>
      </c>
      <c r="BM14" s="71">
        <f t="shared" si="18"/>
        <v>586.12844301933387</v>
      </c>
      <c r="BN14" s="142">
        <f t="shared" si="19"/>
        <v>5108711.5027186489</v>
      </c>
      <c r="BO14" s="68">
        <f t="shared" si="20"/>
        <v>0.70831137805611111</v>
      </c>
      <c r="BP14" s="140">
        <f t="shared" si="21"/>
        <v>1.9853410614148154E-2</v>
      </c>
      <c r="BQ14" s="140">
        <f t="shared" si="22"/>
        <v>-1.5149029620462309E-3</v>
      </c>
      <c r="BR14" s="141">
        <f t="shared" si="23"/>
        <v>-8.0532047974400042E-3</v>
      </c>
      <c r="BS14" s="140">
        <f t="shared" si="24"/>
        <v>1.0285302854661921E-2</v>
      </c>
      <c r="BT14" s="71">
        <f t="shared" si="25"/>
        <v>5798.1835779151243</v>
      </c>
      <c r="BU14" s="69">
        <f t="shared" si="26"/>
        <v>586.12841029871436</v>
      </c>
      <c r="BV14" s="68">
        <f t="shared" si="27"/>
        <v>11.435101667030837</v>
      </c>
    </row>
    <row r="15" spans="1:74" x14ac:dyDescent="0.25">
      <c r="B15" s="99">
        <v>12</v>
      </c>
      <c r="C15" s="98">
        <v>45237.540578703702</v>
      </c>
      <c r="D15" s="73">
        <v>181.83731</v>
      </c>
      <c r="E15" s="73">
        <v>0.98088569613259502</v>
      </c>
      <c r="F15" s="71">
        <v>19.986556549976001</v>
      </c>
      <c r="G15" s="71">
        <v>60.763918566396903</v>
      </c>
      <c r="H15" s="73">
        <f t="shared" si="0"/>
        <v>11.433921510953146</v>
      </c>
      <c r="I15" s="73">
        <v>71.367091779890899</v>
      </c>
      <c r="J15" s="75">
        <v>1.8716761263657101E-5</v>
      </c>
      <c r="K15" s="74">
        <v>207855</v>
      </c>
      <c r="L15" s="73">
        <v>1143.0822420327299</v>
      </c>
      <c r="M15" s="71">
        <v>99.983184276195203</v>
      </c>
      <c r="N15" s="73">
        <v>11.430822420327299</v>
      </c>
      <c r="O15" s="71">
        <f t="shared" si="1"/>
        <v>-2.7104354554806347E-2</v>
      </c>
      <c r="Q15" s="97">
        <f t="shared" si="2"/>
        <v>19.986556549976001</v>
      </c>
      <c r="R15" s="97">
        <f t="shared" si="3"/>
        <v>61.744804262529499</v>
      </c>
      <c r="S15" s="67">
        <v>71.368635318472002</v>
      </c>
      <c r="T15" s="67">
        <v>362.25828968562797</v>
      </c>
      <c r="U15" s="67">
        <v>1.5168535034220001</v>
      </c>
      <c r="V15" s="67">
        <v>92.97</v>
      </c>
      <c r="W15" s="67">
        <v>44.7</v>
      </c>
      <c r="X15" s="67">
        <f t="shared" si="4"/>
        <v>2.2350000000000002E-2</v>
      </c>
      <c r="Y15" s="67">
        <v>1</v>
      </c>
      <c r="Z15" s="67">
        <f t="shared" si="5"/>
        <v>0.99935098932542132</v>
      </c>
      <c r="AA15" s="67">
        <f t="shared" si="6"/>
        <v>1.0045400717126145</v>
      </c>
      <c r="AB15" s="67">
        <f t="shared" si="7"/>
        <v>11.475266766532728</v>
      </c>
      <c r="AC15" s="67">
        <f t="shared" si="8"/>
        <v>0.36160170891478804</v>
      </c>
      <c r="AD15" s="76">
        <f t="shared" si="9"/>
        <v>11.433921510953146</v>
      </c>
      <c r="AE15" s="209"/>
      <c r="AF15" s="209"/>
      <c r="AG15" s="200"/>
      <c r="AH15" s="200"/>
      <c r="AI15" s="200"/>
      <c r="AJ15" s="200"/>
      <c r="AK15" s="76"/>
      <c r="AL15" s="76"/>
      <c r="AM15" s="95">
        <f t="shared" si="28"/>
        <v>11.482719173849746</v>
      </c>
      <c r="AN15" s="95">
        <f t="shared" si="29"/>
        <v>0.42677976099323789</v>
      </c>
      <c r="AO15" s="76">
        <f t="shared" si="30"/>
        <v>11.433921510953146</v>
      </c>
      <c r="AP15" s="209"/>
      <c r="AQ15" s="209"/>
      <c r="AR15" s="200"/>
      <c r="AS15" s="200"/>
      <c r="AT15" s="200"/>
      <c r="AU15" s="200"/>
      <c r="AW15" s="71">
        <v>20.143695319905</v>
      </c>
      <c r="AX15" s="71">
        <v>59.8056064295466</v>
      </c>
      <c r="AY15" s="73">
        <v>586.12115488901804</v>
      </c>
      <c r="AZ15" s="73">
        <v>70.220774946578501</v>
      </c>
      <c r="BA15" s="75">
        <v>1.870078244202E-5</v>
      </c>
      <c r="BB15" s="74">
        <v>171674</v>
      </c>
      <c r="BC15" s="73">
        <v>944.10767515203599</v>
      </c>
      <c r="BD15" s="146">
        <f t="shared" si="10"/>
        <v>5107588.3496189956</v>
      </c>
      <c r="BE15" s="145">
        <v>5798.78</v>
      </c>
      <c r="BF15" s="144">
        <f t="shared" si="11"/>
        <v>586.12115488901634</v>
      </c>
      <c r="BG15" s="68">
        <f t="shared" si="12"/>
        <v>0.70821588767260102</v>
      </c>
      <c r="BH15" s="140">
        <f t="shared" si="13"/>
        <v>1.9863913222764606E-2</v>
      </c>
      <c r="BI15" s="140">
        <f t="shared" si="14"/>
        <v>-1.5152161146295554E-3</v>
      </c>
      <c r="BJ15" s="141">
        <f t="shared" si="15"/>
        <v>-8.0527507929267616E-3</v>
      </c>
      <c r="BK15" s="140">
        <f t="shared" si="16"/>
        <v>1.0295946315208289E-2</v>
      </c>
      <c r="BL15" s="143">
        <f t="shared" si="17"/>
        <v>5798.1829607242626</v>
      </c>
      <c r="BM15" s="71">
        <f t="shared" si="18"/>
        <v>586.18150782237137</v>
      </c>
      <c r="BN15" s="142">
        <f t="shared" si="19"/>
        <v>5108114.2783228103</v>
      </c>
      <c r="BO15" s="68">
        <f t="shared" si="20"/>
        <v>0.70826060470136776</v>
      </c>
      <c r="BP15" s="140">
        <f t="shared" si="21"/>
        <v>1.9858994738112399E-2</v>
      </c>
      <c r="BQ15" s="140">
        <f t="shared" si="22"/>
        <v>-1.515053604059677E-3</v>
      </c>
      <c r="BR15" s="141">
        <f t="shared" si="23"/>
        <v>-8.0535799851984904E-3</v>
      </c>
      <c r="BS15" s="140">
        <f t="shared" si="24"/>
        <v>1.0290361148854232E-2</v>
      </c>
      <c r="BT15" s="71">
        <f t="shared" si="25"/>
        <v>5798.1832845957724</v>
      </c>
      <c r="BU15" s="69">
        <f t="shared" si="26"/>
        <v>586.18147507978972</v>
      </c>
      <c r="BV15" s="68">
        <f t="shared" si="27"/>
        <v>11.433921510953146</v>
      </c>
    </row>
    <row r="16" spans="1:74" x14ac:dyDescent="0.25">
      <c r="B16" s="99">
        <v>13</v>
      </c>
      <c r="C16" s="98">
        <v>45237.543136574102</v>
      </c>
      <c r="D16" s="73">
        <v>181.81283999999999</v>
      </c>
      <c r="E16" s="73">
        <v>0.98092722099447505</v>
      </c>
      <c r="F16" s="71">
        <v>19.975888687843</v>
      </c>
      <c r="G16" s="71">
        <v>60.754340957288797</v>
      </c>
      <c r="H16" s="73">
        <f t="shared" si="0"/>
        <v>11.430959708239564</v>
      </c>
      <c r="I16" s="73">
        <v>71.359082131397798</v>
      </c>
      <c r="J16" s="75">
        <v>1.8716102405569201E-5</v>
      </c>
      <c r="K16" s="74">
        <v>207648</v>
      </c>
      <c r="L16" s="73">
        <v>1142.0975548261599</v>
      </c>
      <c r="M16" s="71">
        <v>99.922951339120104</v>
      </c>
      <c r="N16" s="73">
        <v>11.4209755482616</v>
      </c>
      <c r="O16" s="71">
        <f t="shared" si="1"/>
        <v>-8.7343147319185535E-2</v>
      </c>
      <c r="Q16" s="97">
        <f t="shared" si="2"/>
        <v>19.975888687843</v>
      </c>
      <c r="R16" s="97">
        <f t="shared" si="3"/>
        <v>61.73526817828327</v>
      </c>
      <c r="S16" s="67">
        <v>71.360625866103007</v>
      </c>
      <c r="T16" s="67">
        <v>362.248539681301</v>
      </c>
      <c r="U16" s="67">
        <v>1.5168358972410001</v>
      </c>
      <c r="V16" s="67">
        <v>92.97</v>
      </c>
      <c r="W16" s="67">
        <v>44.7</v>
      </c>
      <c r="X16" s="67">
        <f t="shared" si="4"/>
        <v>2.2350000000000002E-2</v>
      </c>
      <c r="Y16" s="67">
        <v>1</v>
      </c>
      <c r="Z16" s="67">
        <f t="shared" si="5"/>
        <v>0.99935095441107802</v>
      </c>
      <c r="AA16" s="67">
        <f t="shared" si="6"/>
        <v>1.0045393275256764</v>
      </c>
      <c r="AB16" s="67">
        <f t="shared" si="7"/>
        <v>11.465372714310533</v>
      </c>
      <c r="AC16" s="67">
        <f t="shared" si="8"/>
        <v>0.30105089117025879</v>
      </c>
      <c r="AD16" s="76">
        <f t="shared" si="9"/>
        <v>11.430959708239564</v>
      </c>
      <c r="AE16" s="209"/>
      <c r="AF16" s="209"/>
      <c r="AG16" s="200"/>
      <c r="AH16" s="200"/>
      <c r="AI16" s="200"/>
      <c r="AJ16" s="200"/>
      <c r="AK16" s="76"/>
      <c r="AL16" s="76"/>
      <c r="AM16" s="95">
        <f t="shared" si="28"/>
        <v>11.472819096937901</v>
      </c>
      <c r="AN16" s="95">
        <f t="shared" si="29"/>
        <v>0.36619312609564669</v>
      </c>
      <c r="AO16" s="76">
        <f t="shared" si="30"/>
        <v>11.430959708239564</v>
      </c>
      <c r="AP16" s="209"/>
      <c r="AQ16" s="209"/>
      <c r="AR16" s="200"/>
      <c r="AS16" s="200"/>
      <c r="AT16" s="200"/>
      <c r="AU16" s="200"/>
      <c r="AW16" s="71">
        <v>20.142006939813999</v>
      </c>
      <c r="AX16" s="71">
        <v>59.796067948350803</v>
      </c>
      <c r="AY16" s="73">
        <v>586.05662663301996</v>
      </c>
      <c r="AZ16" s="73">
        <v>70.210306448639102</v>
      </c>
      <c r="BA16" s="75">
        <v>1.8700492172141001E-5</v>
      </c>
      <c r="BB16" s="74">
        <v>171632</v>
      </c>
      <c r="BC16" s="73">
        <v>944.00373482972896</v>
      </c>
      <c r="BD16" s="146">
        <f t="shared" si="10"/>
        <v>5106343.9415703947</v>
      </c>
      <c r="BE16" s="145">
        <v>5798.78</v>
      </c>
      <c r="BF16" s="144">
        <f t="shared" si="11"/>
        <v>586.05662663302007</v>
      </c>
      <c r="BG16" s="68">
        <f t="shared" si="12"/>
        <v>0.70811006367925355</v>
      </c>
      <c r="BH16" s="140">
        <f t="shared" si="13"/>
        <v>1.9875554597531521E-2</v>
      </c>
      <c r="BI16" s="140">
        <f t="shared" si="14"/>
        <v>-1.5156158541585908E-3</v>
      </c>
      <c r="BJ16" s="141">
        <f t="shared" si="15"/>
        <v>-8.0519218546833988E-3</v>
      </c>
      <c r="BK16" s="140">
        <f t="shared" si="16"/>
        <v>1.0308016888689533E-2</v>
      </c>
      <c r="BL16" s="143">
        <f t="shared" si="17"/>
        <v>5798.1822607782615</v>
      </c>
      <c r="BM16" s="71">
        <f t="shared" si="18"/>
        <v>586.11704367686991</v>
      </c>
      <c r="BN16" s="142">
        <f t="shared" si="19"/>
        <v>5106870.3586294465</v>
      </c>
      <c r="BO16" s="68">
        <f t="shared" si="20"/>
        <v>0.70815483313525607</v>
      </c>
      <c r="BP16" s="140">
        <f t="shared" si="21"/>
        <v>1.9870629362346577E-2</v>
      </c>
      <c r="BQ16" s="140">
        <f t="shared" si="22"/>
        <v>-1.5154531094577106E-3</v>
      </c>
      <c r="BR16" s="141">
        <f t="shared" si="23"/>
        <v>-8.0527519337127308E-3</v>
      </c>
      <c r="BS16" s="140">
        <f t="shared" si="24"/>
        <v>1.0302424319176136E-2</v>
      </c>
      <c r="BT16" s="71">
        <f t="shared" si="25"/>
        <v>5798.1825850790647</v>
      </c>
      <c r="BU16" s="69">
        <f t="shared" si="26"/>
        <v>586.11701089448923</v>
      </c>
      <c r="BV16" s="68">
        <f t="shared" si="27"/>
        <v>11.430959708239564</v>
      </c>
    </row>
    <row r="17" spans="2:74" x14ac:dyDescent="0.25">
      <c r="B17" s="99">
        <v>14</v>
      </c>
      <c r="C17" s="98">
        <v>45237.545891203699</v>
      </c>
      <c r="D17" s="73">
        <v>301.83954999999997</v>
      </c>
      <c r="E17" s="73">
        <v>0.98094140333333402</v>
      </c>
      <c r="F17" s="71">
        <v>19.975514713083999</v>
      </c>
      <c r="G17" s="71">
        <v>60.746549269328</v>
      </c>
      <c r="H17" s="73">
        <f t="shared" si="0"/>
        <v>11.429801456727221</v>
      </c>
      <c r="I17" s="73">
        <v>71.350232844525095</v>
      </c>
      <c r="J17" s="75">
        <v>1.8715904714840201E-5</v>
      </c>
      <c r="K17" s="74">
        <v>344389</v>
      </c>
      <c r="L17" s="73">
        <v>1140.9671131566399</v>
      </c>
      <c r="M17" s="71">
        <v>99.834167927536896</v>
      </c>
      <c r="N17" s="73">
        <v>11.4096711315664</v>
      </c>
      <c r="O17" s="71">
        <f t="shared" si="1"/>
        <v>-0.17612138965872273</v>
      </c>
      <c r="Q17" s="97">
        <f t="shared" si="2"/>
        <v>19.975514713083999</v>
      </c>
      <c r="R17" s="97">
        <f t="shared" si="3"/>
        <v>61.727490672661332</v>
      </c>
      <c r="S17" s="67">
        <v>71.351776697233007</v>
      </c>
      <c r="T17" s="67">
        <v>362.24602968398199</v>
      </c>
      <c r="U17" s="67">
        <v>1.5168178736439999</v>
      </c>
      <c r="V17" s="67">
        <v>92.97</v>
      </c>
      <c r="W17" s="67">
        <v>44.7</v>
      </c>
      <c r="X17" s="67">
        <f t="shared" si="4"/>
        <v>2.2350000000000002E-2</v>
      </c>
      <c r="Y17" s="67">
        <v>1</v>
      </c>
      <c r="Z17" s="67">
        <f t="shared" si="5"/>
        <v>0.99935094542243041</v>
      </c>
      <c r="AA17" s="67">
        <f t="shared" si="6"/>
        <v>1.0045387221068764</v>
      </c>
      <c r="AB17" s="67">
        <f t="shared" si="7"/>
        <v>11.454017347383646</v>
      </c>
      <c r="AC17" s="67">
        <f t="shared" si="8"/>
        <v>0.21186624061761125</v>
      </c>
      <c r="AD17" s="76">
        <f t="shared" si="9"/>
        <v>11.429801456727221</v>
      </c>
      <c r="AE17" s="209"/>
      <c r="AF17" s="209"/>
      <c r="AG17" s="200"/>
      <c r="AH17" s="200"/>
      <c r="AI17" s="200"/>
      <c r="AJ17" s="200"/>
      <c r="AK17" s="76"/>
      <c r="AL17" s="76"/>
      <c r="AM17" s="95">
        <f t="shared" si="28"/>
        <v>11.461456458163431</v>
      </c>
      <c r="AN17" s="95">
        <f t="shared" si="29"/>
        <v>0.27695145498418866</v>
      </c>
      <c r="AO17" s="76">
        <f t="shared" si="30"/>
        <v>11.429801456727221</v>
      </c>
      <c r="AP17" s="209"/>
      <c r="AQ17" s="209"/>
      <c r="AR17" s="200"/>
      <c r="AS17" s="200"/>
      <c r="AT17" s="200"/>
      <c r="AU17" s="200"/>
      <c r="AW17" s="71">
        <v>20.142064291097</v>
      </c>
      <c r="AX17" s="71">
        <v>59.788098490304201</v>
      </c>
      <c r="AY17" s="73">
        <v>586.07377507087904</v>
      </c>
      <c r="AZ17" s="73">
        <v>70.201135397889999</v>
      </c>
      <c r="BA17" s="75">
        <v>1.8700309257750299E-5</v>
      </c>
      <c r="BB17" s="74">
        <v>284946</v>
      </c>
      <c r="BC17" s="73">
        <v>944.03135705708598</v>
      </c>
      <c r="BD17" s="146">
        <f t="shared" si="10"/>
        <v>5105876.2754775742</v>
      </c>
      <c r="BE17" s="145">
        <v>5798.78</v>
      </c>
      <c r="BF17" s="144">
        <f t="shared" si="11"/>
        <v>586.07377507087858</v>
      </c>
      <c r="BG17" s="68">
        <f t="shared" si="12"/>
        <v>0.70807028686298623</v>
      </c>
      <c r="BH17" s="140">
        <f t="shared" si="13"/>
        <v>1.9879930925106853E-2</v>
      </c>
      <c r="BI17" s="140">
        <f t="shared" si="14"/>
        <v>-1.5157676515284888E-3</v>
      </c>
      <c r="BJ17" s="141">
        <f t="shared" si="15"/>
        <v>-8.0521596365247805E-3</v>
      </c>
      <c r="BK17" s="140">
        <f t="shared" si="16"/>
        <v>1.0312003637053584E-2</v>
      </c>
      <c r="BL17" s="143">
        <f t="shared" si="17"/>
        <v>5798.1820295954949</v>
      </c>
      <c r="BM17" s="71">
        <f t="shared" si="18"/>
        <v>586.13421725267983</v>
      </c>
      <c r="BN17" s="142">
        <f t="shared" si="19"/>
        <v>5106402.8479249766</v>
      </c>
      <c r="BO17" s="68">
        <f t="shared" si="20"/>
        <v>0.70811507363500226</v>
      </c>
      <c r="BP17" s="140">
        <f t="shared" si="21"/>
        <v>1.9875003415131407E-2</v>
      </c>
      <c r="BQ17" s="140">
        <f t="shared" si="22"/>
        <v>-1.5156048277610848E-3</v>
      </c>
      <c r="BR17" s="141">
        <f t="shared" si="23"/>
        <v>-8.0529900611527802E-3</v>
      </c>
      <c r="BS17" s="140">
        <f t="shared" si="24"/>
        <v>1.0306408526217541E-2</v>
      </c>
      <c r="BT17" s="71">
        <f t="shared" si="25"/>
        <v>5798.1823540436635</v>
      </c>
      <c r="BU17" s="69">
        <f t="shared" si="26"/>
        <v>586.13418445444029</v>
      </c>
      <c r="BV17" s="68">
        <f t="shared" si="27"/>
        <v>11.429801456727221</v>
      </c>
    </row>
    <row r="18" spans="2:74" x14ac:dyDescent="0.25">
      <c r="B18" s="99">
        <v>15</v>
      </c>
      <c r="C18" s="98">
        <v>45237.549953703703</v>
      </c>
      <c r="D18" s="73">
        <v>301.78744</v>
      </c>
      <c r="E18" s="73">
        <v>0.98095097009966703</v>
      </c>
      <c r="F18" s="71">
        <v>19.962838869108001</v>
      </c>
      <c r="G18" s="71">
        <v>60.736785329472397</v>
      </c>
      <c r="H18" s="73">
        <f t="shared" si="0"/>
        <v>11.429286855137228</v>
      </c>
      <c r="I18" s="73">
        <v>71.342529148899104</v>
      </c>
      <c r="J18" s="75">
        <v>1.8715158802482401E-5</v>
      </c>
      <c r="K18" s="74">
        <v>344809</v>
      </c>
      <c r="L18" s="73">
        <v>1142.55583333753</v>
      </c>
      <c r="M18" s="71">
        <v>99.977681762785593</v>
      </c>
      <c r="N18" s="73">
        <v>11.425558333375299</v>
      </c>
      <c r="O18" s="71">
        <f t="shared" si="1"/>
        <v>-3.2622523252643816E-2</v>
      </c>
      <c r="Q18" s="97">
        <f t="shared" si="2"/>
        <v>19.962838869108001</v>
      </c>
      <c r="R18" s="97">
        <f t="shared" si="3"/>
        <v>61.717736299572067</v>
      </c>
      <c r="S18" s="67">
        <v>71.344073211508999</v>
      </c>
      <c r="T18" s="67">
        <v>362.23490398356802</v>
      </c>
      <c r="U18" s="67">
        <v>1.5168006393360001</v>
      </c>
      <c r="V18" s="67">
        <v>92.97</v>
      </c>
      <c r="W18" s="67">
        <v>44.7</v>
      </c>
      <c r="X18" s="67">
        <f t="shared" si="4"/>
        <v>2.2350000000000002E-2</v>
      </c>
      <c r="Y18" s="67">
        <v>1</v>
      </c>
      <c r="Z18" s="67">
        <f t="shared" si="5"/>
        <v>0.99935090557751061</v>
      </c>
      <c r="AA18" s="67">
        <f t="shared" si="6"/>
        <v>1.0045379634439582</v>
      </c>
      <c r="AB18" s="67">
        <f t="shared" si="7"/>
        <v>11.469957178486096</v>
      </c>
      <c r="AC18" s="67">
        <f t="shared" si="8"/>
        <v>0.35584305358988905</v>
      </c>
      <c r="AD18" s="76">
        <f t="shared" si="9"/>
        <v>11.429286855137228</v>
      </c>
      <c r="AE18" s="209"/>
      <c r="AF18" s="209"/>
      <c r="AG18" s="200"/>
      <c r="AH18" s="200"/>
      <c r="AI18" s="200"/>
      <c r="AJ18" s="200"/>
      <c r="AK18" s="76"/>
      <c r="AL18" s="76"/>
      <c r="AM18" s="95">
        <f t="shared" si="28"/>
        <v>11.477407099418969</v>
      </c>
      <c r="AN18" s="95">
        <f t="shared" si="29"/>
        <v>0.42102578132520579</v>
      </c>
      <c r="AO18" s="76">
        <f t="shared" si="30"/>
        <v>11.429286855137228</v>
      </c>
      <c r="AP18" s="209"/>
      <c r="AQ18" s="209"/>
      <c r="AR18" s="200"/>
      <c r="AS18" s="200"/>
      <c r="AT18" s="200"/>
      <c r="AU18" s="200"/>
      <c r="AW18" s="71">
        <v>20.138422179707</v>
      </c>
      <c r="AX18" s="71">
        <v>59.778228953344701</v>
      </c>
      <c r="AY18" s="73">
        <v>586.13383025272799</v>
      </c>
      <c r="AZ18" s="73">
        <v>70.190782148221899</v>
      </c>
      <c r="BA18" s="75">
        <v>1.86999305940383E-5</v>
      </c>
      <c r="BB18" s="74">
        <v>284926</v>
      </c>
      <c r="BC18" s="73">
        <v>944.12809227580794</v>
      </c>
      <c r="BD18" s="146">
        <f t="shared" si="10"/>
        <v>5105749.7722290484</v>
      </c>
      <c r="BE18" s="145">
        <v>5798.78</v>
      </c>
      <c r="BF18" s="144">
        <f t="shared" si="11"/>
        <v>586.13383025272708</v>
      </c>
      <c r="BG18" s="68">
        <f t="shared" si="12"/>
        <v>0.70805952664467742</v>
      </c>
      <c r="BH18" s="140">
        <f t="shared" si="13"/>
        <v>1.9881114843012429E-2</v>
      </c>
      <c r="BI18" s="140">
        <f t="shared" si="14"/>
        <v>-1.5158294244059891E-3</v>
      </c>
      <c r="BJ18" s="141">
        <f t="shared" si="15"/>
        <v>-8.0531037332097662E-3</v>
      </c>
      <c r="BK18" s="140">
        <f t="shared" si="16"/>
        <v>1.0312181685396674E-2</v>
      </c>
      <c r="BL18" s="143">
        <f t="shared" si="17"/>
        <v>5798.1820192708637</v>
      </c>
      <c r="BM18" s="71">
        <f t="shared" si="18"/>
        <v>586.19427967187619</v>
      </c>
      <c r="BN18" s="142">
        <f t="shared" si="19"/>
        <v>5106276.3407226615</v>
      </c>
      <c r="BO18" s="68">
        <f t="shared" si="20"/>
        <v>0.70810431419002717</v>
      </c>
      <c r="BP18" s="140">
        <f t="shared" si="21"/>
        <v>1.9876187147917859E-2</v>
      </c>
      <c r="BQ18" s="140">
        <f t="shared" si="22"/>
        <v>-1.5156665918315021E-3</v>
      </c>
      <c r="BR18" s="141">
        <f t="shared" si="23"/>
        <v>-8.0539342695444618E-3</v>
      </c>
      <c r="BS18" s="140">
        <f t="shared" si="24"/>
        <v>1.0306586286541894E-2</v>
      </c>
      <c r="BT18" s="71">
        <f t="shared" si="25"/>
        <v>5798.1823437357334</v>
      </c>
      <c r="BU18" s="69">
        <f t="shared" si="26"/>
        <v>586.19424686858736</v>
      </c>
      <c r="BV18" s="68">
        <f t="shared" si="27"/>
        <v>11.429286855137228</v>
      </c>
    </row>
    <row r="19" spans="2:74" x14ac:dyDescent="0.25">
      <c r="B19" s="99">
        <v>17</v>
      </c>
      <c r="C19" s="98">
        <v>45237.564467592601</v>
      </c>
      <c r="D19" s="73">
        <v>181.77531999999999</v>
      </c>
      <c r="E19" s="73">
        <v>0.98092733701657597</v>
      </c>
      <c r="F19" s="71">
        <v>19.891833142471999</v>
      </c>
      <c r="G19" s="71">
        <v>60.624276836837502</v>
      </c>
      <c r="H19" s="73">
        <f t="shared" si="0"/>
        <v>9.8775345319706354</v>
      </c>
      <c r="I19" s="73">
        <v>71.232688955406203</v>
      </c>
      <c r="J19" s="75">
        <v>1.8709622278173299E-5</v>
      </c>
      <c r="K19" s="74">
        <v>179183</v>
      </c>
      <c r="L19" s="73">
        <v>985.73887808311895</v>
      </c>
      <c r="M19" s="71">
        <v>99.814494042113793</v>
      </c>
      <c r="N19" s="73">
        <v>9.8573887808311902</v>
      </c>
      <c r="O19" s="71">
        <f t="shared" si="1"/>
        <v>-0.20395525901974196</v>
      </c>
      <c r="Q19" s="97">
        <f t="shared" si="2"/>
        <v>19.891833142471999</v>
      </c>
      <c r="R19" s="97">
        <f t="shared" si="3"/>
        <v>61.605204173854077</v>
      </c>
      <c r="S19" s="67">
        <v>71.234235059439001</v>
      </c>
      <c r="T19" s="67">
        <v>362.15573241640499</v>
      </c>
      <c r="U19" s="67">
        <v>1.5165687105879999</v>
      </c>
      <c r="V19" s="67">
        <v>92.97</v>
      </c>
      <c r="W19" s="67">
        <v>44.7</v>
      </c>
      <c r="X19" s="67">
        <f t="shared" si="4"/>
        <v>2.2350000000000002E-2</v>
      </c>
      <c r="Y19" s="67">
        <v>1</v>
      </c>
      <c r="Z19" s="67">
        <f t="shared" si="5"/>
        <v>0.99935062193122137</v>
      </c>
      <c r="AA19" s="67">
        <f t="shared" si="6"/>
        <v>1.0045292215615482</v>
      </c>
      <c r="AB19" s="67">
        <f t="shared" si="7"/>
        <v>9.8956049142215505</v>
      </c>
      <c r="AC19" s="67">
        <f t="shared" si="8"/>
        <v>0.18294425792617308</v>
      </c>
      <c r="AD19" s="76">
        <f t="shared" si="9"/>
        <v>9.8775345319706354</v>
      </c>
      <c r="AE19" s="209">
        <f>AVERAGE(AD19:AD23)</f>
        <v>9.8758690037317738</v>
      </c>
      <c r="AF19" s="209">
        <f>AVERAGE(AC19:AC23)</f>
        <v>8.8906267748025458E-2</v>
      </c>
      <c r="AG19" s="200">
        <f>STDEV(AC19:AC23)</f>
        <v>8.0298370264375071E-2</v>
      </c>
      <c r="AH19" s="200">
        <f>AG19*2.776/SQRT(2)</f>
        <v>0.1576199534388979</v>
      </c>
      <c r="AI19" s="200">
        <v>0.25</v>
      </c>
      <c r="AJ19" s="200">
        <f>SQRT(AI19^2+AH19^2)</f>
        <v>0.29554026751371859</v>
      </c>
      <c r="AK19" s="76"/>
      <c r="AL19" s="76"/>
      <c r="AM19" s="95">
        <f t="shared" si="28"/>
        <v>9.9020350786378941</v>
      </c>
      <c r="AN19" s="95">
        <f t="shared" si="29"/>
        <v>0.24804313857833443</v>
      </c>
      <c r="AO19" s="76">
        <f t="shared" si="30"/>
        <v>9.8775345319706354</v>
      </c>
      <c r="AP19" s="209">
        <f>AVERAGE(AO19:AO23)</f>
        <v>9.8758690037317738</v>
      </c>
      <c r="AQ19" s="209">
        <f>AVERAGE(AN19:AN23)</f>
        <v>0.15394801161246563</v>
      </c>
      <c r="AR19" s="200">
        <f>STDEV(AN19:AN23)</f>
        <v>8.0348540273643368E-2</v>
      </c>
      <c r="AS19" s="200">
        <f>AR19*2.776/SQRT(2)</f>
        <v>0.15771843357615178</v>
      </c>
      <c r="AT19" s="200">
        <v>0.25</v>
      </c>
      <c r="AU19" s="200">
        <f>SQRT(AT19^2+AS19^2)</f>
        <v>0.29559280148493977</v>
      </c>
      <c r="AW19" s="71">
        <v>20.042160585421001</v>
      </c>
      <c r="AX19" s="71">
        <v>59.9121738494308</v>
      </c>
      <c r="AY19" s="73">
        <v>505.21410191434001</v>
      </c>
      <c r="AZ19" s="73">
        <v>70.371257607190998</v>
      </c>
      <c r="BA19" s="75">
        <v>1.8699112537821399E-5</v>
      </c>
      <c r="BB19" s="74">
        <v>147926</v>
      </c>
      <c r="BC19" s="73">
        <v>813.78484163856797</v>
      </c>
      <c r="BD19" s="146">
        <f t="shared" si="10"/>
        <v>4412375.1731125666</v>
      </c>
      <c r="BE19" s="145">
        <v>5798.78</v>
      </c>
      <c r="BF19" s="144">
        <f t="shared" si="11"/>
        <v>505.21410191434148</v>
      </c>
      <c r="BG19" s="68">
        <f t="shared" si="12"/>
        <v>0.64467243230064353</v>
      </c>
      <c r="BH19" s="140">
        <f t="shared" si="13"/>
        <v>2.7203852544854829E-2</v>
      </c>
      <c r="BI19" s="140">
        <f t="shared" si="14"/>
        <v>-1.7658238621563514E-3</v>
      </c>
      <c r="BJ19" s="141">
        <f t="shared" si="15"/>
        <v>-6.9438608720097626E-3</v>
      </c>
      <c r="BK19" s="140">
        <f t="shared" si="16"/>
        <v>1.8494167810688713E-2</v>
      </c>
      <c r="BL19" s="143">
        <f t="shared" si="17"/>
        <v>5797.7075638958268</v>
      </c>
      <c r="BM19" s="71">
        <f t="shared" si="18"/>
        <v>505.30755434140139</v>
      </c>
      <c r="BN19" s="142">
        <f t="shared" si="19"/>
        <v>4413191.3561277753</v>
      </c>
      <c r="BO19" s="68">
        <f t="shared" si="20"/>
        <v>0.64475275887901429</v>
      </c>
      <c r="BP19" s="140">
        <f t="shared" si="21"/>
        <v>2.7194216208156825E-2</v>
      </c>
      <c r="BQ19" s="140">
        <f t="shared" si="22"/>
        <v>-1.7654815965155557E-3</v>
      </c>
      <c r="BR19" s="141">
        <f t="shared" si="23"/>
        <v>-6.9451453188397235E-3</v>
      </c>
      <c r="BS19" s="140">
        <f t="shared" si="24"/>
        <v>1.8483589292801549E-2</v>
      </c>
      <c r="BT19" s="71">
        <f t="shared" si="25"/>
        <v>5797.7081773208065</v>
      </c>
      <c r="BU19" s="69">
        <f t="shared" si="26"/>
        <v>505.30750087746929</v>
      </c>
      <c r="BV19" s="68">
        <f t="shared" si="27"/>
        <v>9.8775345319706354</v>
      </c>
    </row>
    <row r="20" spans="2:74" x14ac:dyDescent="0.25">
      <c r="B20" s="99">
        <v>18</v>
      </c>
      <c r="C20" s="98">
        <v>45237.567083333299</v>
      </c>
      <c r="D20" s="73">
        <v>181.88077000000001</v>
      </c>
      <c r="E20" s="73">
        <v>0.98093379005524906</v>
      </c>
      <c r="F20" s="71">
        <v>19.879678171737002</v>
      </c>
      <c r="G20" s="71">
        <v>60.615304149287802</v>
      </c>
      <c r="H20" s="73">
        <f t="shared" si="0"/>
        <v>9.8762089851888444</v>
      </c>
      <c r="I20" s="73">
        <v>71.225738597327506</v>
      </c>
      <c r="J20" s="75">
        <v>1.8708915943018999E-5</v>
      </c>
      <c r="K20" s="74">
        <v>178970</v>
      </c>
      <c r="L20" s="73">
        <v>983.99627404260502</v>
      </c>
      <c r="M20" s="71">
        <v>99.651418435551193</v>
      </c>
      <c r="N20" s="73">
        <v>9.8399627404260492</v>
      </c>
      <c r="O20" s="71">
        <f t="shared" si="1"/>
        <v>-0.36700564778603734</v>
      </c>
      <c r="Q20" s="97">
        <f t="shared" si="2"/>
        <v>19.879678171737002</v>
      </c>
      <c r="R20" s="97">
        <f t="shared" si="3"/>
        <v>61.596237939343048</v>
      </c>
      <c r="S20" s="67">
        <v>71.227284899742003</v>
      </c>
      <c r="T20" s="67">
        <v>362.14517797467698</v>
      </c>
      <c r="U20" s="67">
        <v>1.516553080904</v>
      </c>
      <c r="V20" s="67">
        <v>92.97</v>
      </c>
      <c r="W20" s="67">
        <v>44.7</v>
      </c>
      <c r="X20" s="67">
        <f t="shared" si="4"/>
        <v>2.2350000000000002E-2</v>
      </c>
      <c r="Y20" s="67">
        <v>1</v>
      </c>
      <c r="Z20" s="67">
        <f t="shared" si="5"/>
        <v>0.9993505841040059</v>
      </c>
      <c r="AA20" s="67">
        <f t="shared" si="6"/>
        <v>1.0045285243924671</v>
      </c>
      <c r="AB20" s="67">
        <f t="shared" si="7"/>
        <v>9.8781040851930477</v>
      </c>
      <c r="AC20" s="67">
        <f t="shared" si="8"/>
        <v>1.918853688743714E-2</v>
      </c>
      <c r="AD20" s="76">
        <f t="shared" si="9"/>
        <v>9.8762089851888444</v>
      </c>
      <c r="AE20" s="209"/>
      <c r="AF20" s="209"/>
      <c r="AG20" s="200"/>
      <c r="AH20" s="200"/>
      <c r="AI20" s="200"/>
      <c r="AJ20" s="200"/>
      <c r="AK20" s="76"/>
      <c r="AL20" s="76"/>
      <c r="AM20" s="95">
        <f t="shared" si="28"/>
        <v>9.8845232517170363</v>
      </c>
      <c r="AN20" s="95">
        <f t="shared" si="29"/>
        <v>8.4184797432503039E-2</v>
      </c>
      <c r="AO20" s="76">
        <f t="shared" si="30"/>
        <v>9.8762089851888444</v>
      </c>
      <c r="AP20" s="209"/>
      <c r="AQ20" s="209"/>
      <c r="AR20" s="200"/>
      <c r="AS20" s="200"/>
      <c r="AT20" s="200"/>
      <c r="AU20" s="200"/>
      <c r="AW20" s="71">
        <v>20.031753022876</v>
      </c>
      <c r="AX20" s="71">
        <v>59.9034738087921</v>
      </c>
      <c r="AY20" s="73">
        <v>505.19767143911798</v>
      </c>
      <c r="AZ20" s="73">
        <v>70.364098805089299</v>
      </c>
      <c r="BA20" s="75">
        <v>1.8698484027834401E-5</v>
      </c>
      <c r="BB20" s="74">
        <v>148007</v>
      </c>
      <c r="BC20" s="73">
        <v>813.75837588547699</v>
      </c>
      <c r="BD20" s="146">
        <f t="shared" si="10"/>
        <v>4411931.1152542783</v>
      </c>
      <c r="BE20" s="145">
        <v>5798.78</v>
      </c>
      <c r="BF20" s="144">
        <f t="shared" si="11"/>
        <v>505.19767143911599</v>
      </c>
      <c r="BG20" s="68">
        <f t="shared" si="12"/>
        <v>0.64462872305679786</v>
      </c>
      <c r="BH20" s="140">
        <f t="shared" si="13"/>
        <v>2.7209096394796514E-2</v>
      </c>
      <c r="BI20" s="140">
        <f t="shared" si="14"/>
        <v>-1.7660637117862807E-3</v>
      </c>
      <c r="BJ20" s="141">
        <f t="shared" si="15"/>
        <v>-6.9439200453520582E-3</v>
      </c>
      <c r="BK20" s="140">
        <f t="shared" si="16"/>
        <v>1.8499112637658174E-2</v>
      </c>
      <c r="BL20" s="143">
        <f t="shared" si="17"/>
        <v>5797.7072771561898</v>
      </c>
      <c r="BM20" s="71">
        <f t="shared" si="18"/>
        <v>505.29114581732892</v>
      </c>
      <c r="BN20" s="142">
        <f t="shared" si="19"/>
        <v>4412747.4343725787</v>
      </c>
      <c r="BO20" s="68">
        <f t="shared" si="20"/>
        <v>0.64470907111425235</v>
      </c>
      <c r="BP20" s="140">
        <f t="shared" si="21"/>
        <v>2.7199457101879831E-2</v>
      </c>
      <c r="BQ20" s="140">
        <f t="shared" si="22"/>
        <v>-1.7657213076459975E-3</v>
      </c>
      <c r="BR20" s="141">
        <f t="shared" si="23"/>
        <v>-6.9452048466195513E-3</v>
      </c>
      <c r="BS20" s="140">
        <f t="shared" si="24"/>
        <v>1.8488530947614282E-2</v>
      </c>
      <c r="BT20" s="71">
        <f t="shared" si="25"/>
        <v>5797.7078907651157</v>
      </c>
      <c r="BU20" s="69">
        <f t="shared" si="26"/>
        <v>505.29109233909867</v>
      </c>
      <c r="BV20" s="68">
        <f t="shared" si="27"/>
        <v>9.8762089851888444</v>
      </c>
    </row>
    <row r="21" spans="2:74" x14ac:dyDescent="0.25">
      <c r="B21" s="99">
        <v>19</v>
      </c>
      <c r="C21" s="98">
        <v>45237.5695486111</v>
      </c>
      <c r="D21" s="73">
        <v>181.75103999999999</v>
      </c>
      <c r="E21" s="73">
        <v>0.98097225414364697</v>
      </c>
      <c r="F21" s="71">
        <v>19.883470336694</v>
      </c>
      <c r="G21" s="71">
        <v>60.610715298130103</v>
      </c>
      <c r="H21" s="73">
        <f t="shared" si="0"/>
        <v>9.8751629801428198</v>
      </c>
      <c r="I21" s="73">
        <v>71.219444661398398</v>
      </c>
      <c r="J21" s="75">
        <v>1.8708964014570601E-5</v>
      </c>
      <c r="K21" s="74">
        <v>179085</v>
      </c>
      <c r="L21" s="73">
        <v>985.33136316578998</v>
      </c>
      <c r="M21" s="71">
        <v>99.797200362220707</v>
      </c>
      <c r="N21" s="73">
        <v>9.8533136316578993</v>
      </c>
      <c r="O21" s="71">
        <f t="shared" si="1"/>
        <v>-0.22125557349134994</v>
      </c>
      <c r="Q21" s="97">
        <f t="shared" si="2"/>
        <v>19.883470336694</v>
      </c>
      <c r="R21" s="97">
        <f t="shared" si="3"/>
        <v>61.591687552273747</v>
      </c>
      <c r="S21" s="67">
        <v>71.220991009838002</v>
      </c>
      <c r="T21" s="67">
        <v>362.14633300265001</v>
      </c>
      <c r="U21" s="67">
        <v>1.5165407795700001</v>
      </c>
      <c r="V21" s="67">
        <v>92.97</v>
      </c>
      <c r="W21" s="67">
        <v>44.7</v>
      </c>
      <c r="X21" s="67">
        <f t="shared" si="4"/>
        <v>2.2350000000000002E-2</v>
      </c>
      <c r="Y21" s="67">
        <v>1</v>
      </c>
      <c r="Z21" s="67">
        <f t="shared" si="5"/>
        <v>0.99935058824379785</v>
      </c>
      <c r="AA21" s="67">
        <f t="shared" si="6"/>
        <v>1.0045281678435769</v>
      </c>
      <c r="AB21" s="67">
        <f t="shared" si="7"/>
        <v>9.8915032567857875</v>
      </c>
      <c r="AC21" s="67">
        <f t="shared" si="8"/>
        <v>0.16546842493460645</v>
      </c>
      <c r="AD21" s="76">
        <f t="shared" si="9"/>
        <v>9.8751629801428198</v>
      </c>
      <c r="AE21" s="209"/>
      <c r="AF21" s="209"/>
      <c r="AG21" s="200"/>
      <c r="AH21" s="200"/>
      <c r="AI21" s="200"/>
      <c r="AJ21" s="200"/>
      <c r="AK21" s="76"/>
      <c r="AL21" s="76"/>
      <c r="AM21" s="95">
        <f t="shared" si="28"/>
        <v>9.897931089597451</v>
      </c>
      <c r="AN21" s="95">
        <f t="shared" si="29"/>
        <v>0.23055932849324959</v>
      </c>
      <c r="AO21" s="76">
        <f t="shared" si="30"/>
        <v>9.8751629801428198</v>
      </c>
      <c r="AP21" s="209"/>
      <c r="AQ21" s="209"/>
      <c r="AR21" s="200"/>
      <c r="AS21" s="200"/>
      <c r="AT21" s="200"/>
      <c r="AU21" s="200"/>
      <c r="AW21" s="71">
        <v>20.028281427664002</v>
      </c>
      <c r="AX21" s="71">
        <v>59.899204357090198</v>
      </c>
      <c r="AY21" s="73">
        <v>505.17228840211402</v>
      </c>
      <c r="AZ21" s="73">
        <v>70.360178137232893</v>
      </c>
      <c r="BA21" s="75">
        <v>1.8698243334122301E-5</v>
      </c>
      <c r="BB21" s="74">
        <v>147894</v>
      </c>
      <c r="BC21" s="73">
        <v>813.71748959455704</v>
      </c>
      <c r="BD21" s="146">
        <f t="shared" si="10"/>
        <v>4411520.4106777981</v>
      </c>
      <c r="BE21" s="145">
        <v>5798.78</v>
      </c>
      <c r="BF21" s="144">
        <f t="shared" si="11"/>
        <v>505.17228840211311</v>
      </c>
      <c r="BG21" s="68">
        <f t="shared" si="12"/>
        <v>0.64458829290747088</v>
      </c>
      <c r="BH21" s="140">
        <f t="shared" si="13"/>
        <v>2.7213947031555611E-2</v>
      </c>
      <c r="BI21" s="140">
        <f t="shared" si="14"/>
        <v>-1.7662551300057752E-3</v>
      </c>
      <c r="BJ21" s="141">
        <f t="shared" si="15"/>
        <v>-6.9436667930195426E-3</v>
      </c>
      <c r="BK21" s="140">
        <f t="shared" si="16"/>
        <v>1.8504025108530293E-2</v>
      </c>
      <c r="BL21" s="143">
        <f t="shared" si="17"/>
        <v>5797.7069922928113</v>
      </c>
      <c r="BM21" s="71">
        <f t="shared" si="18"/>
        <v>505.26578290944752</v>
      </c>
      <c r="BN21" s="142">
        <f t="shared" si="19"/>
        <v>4412336.8706002068</v>
      </c>
      <c r="BO21" s="68">
        <f t="shared" si="20"/>
        <v>0.6446686623034632</v>
      </c>
      <c r="BP21" s="140">
        <f t="shared" si="21"/>
        <v>2.7204304827764644E-2</v>
      </c>
      <c r="BQ21" s="140">
        <f t="shared" si="22"/>
        <v>-1.7659125970671328E-3</v>
      </c>
      <c r="BR21" s="141">
        <f t="shared" si="23"/>
        <v>-6.9449518886607964E-3</v>
      </c>
      <c r="BS21" s="140">
        <f t="shared" si="24"/>
        <v>1.8493440342036715E-2</v>
      </c>
      <c r="BT21" s="71">
        <f t="shared" si="25"/>
        <v>5797.7076060801337</v>
      </c>
      <c r="BU21" s="69">
        <f t="shared" si="26"/>
        <v>505.26572941835184</v>
      </c>
      <c r="BV21" s="68">
        <f t="shared" si="27"/>
        <v>9.8751629801428198</v>
      </c>
    </row>
    <row r="22" spans="2:74" x14ac:dyDescent="0.25">
      <c r="B22" s="99">
        <v>20</v>
      </c>
      <c r="C22" s="98">
        <v>45237.572326388901</v>
      </c>
      <c r="D22" s="73">
        <v>301.74601999999999</v>
      </c>
      <c r="E22" s="73">
        <v>0.98099942666666595</v>
      </c>
      <c r="F22" s="71">
        <v>19.873995755266002</v>
      </c>
      <c r="G22" s="71">
        <v>60.603601292546401</v>
      </c>
      <c r="H22" s="73">
        <f t="shared" si="0"/>
        <v>9.8757685210496167</v>
      </c>
      <c r="I22" s="73">
        <v>71.213913611397004</v>
      </c>
      <c r="J22" s="75">
        <v>1.8708411134388901E-5</v>
      </c>
      <c r="K22" s="74">
        <v>297032</v>
      </c>
      <c r="L22" s="73">
        <v>984.37752385267595</v>
      </c>
      <c r="M22" s="71">
        <v>99.694473636058206</v>
      </c>
      <c r="N22" s="73">
        <v>9.8437752385267601</v>
      </c>
      <c r="O22" s="71">
        <f t="shared" si="1"/>
        <v>-0.32395739586913985</v>
      </c>
      <c r="Q22" s="97">
        <f t="shared" si="2"/>
        <v>19.873995755266002</v>
      </c>
      <c r="R22" s="97">
        <f t="shared" si="3"/>
        <v>61.584600719213064</v>
      </c>
      <c r="S22" s="67">
        <v>71.215460116087002</v>
      </c>
      <c r="T22" s="67">
        <v>362.13807767574002</v>
      </c>
      <c r="U22" s="67">
        <v>1.5165283671809999</v>
      </c>
      <c r="V22" s="67">
        <v>92.97</v>
      </c>
      <c r="W22" s="67">
        <v>44.7</v>
      </c>
      <c r="X22" s="67">
        <f t="shared" si="4"/>
        <v>2.2350000000000002E-2</v>
      </c>
      <c r="Y22" s="67">
        <v>1</v>
      </c>
      <c r="Z22" s="67">
        <f t="shared" si="5"/>
        <v>0.99935055865461053</v>
      </c>
      <c r="AA22" s="67">
        <f t="shared" si="6"/>
        <v>1.004527615093354</v>
      </c>
      <c r="AB22" s="67">
        <f t="shared" si="7"/>
        <v>9.8819221643997821</v>
      </c>
      <c r="AC22" s="67">
        <f t="shared" si="8"/>
        <v>6.2310526386369941E-2</v>
      </c>
      <c r="AD22" s="76">
        <f t="shared" si="9"/>
        <v>9.8757685210496167</v>
      </c>
      <c r="AE22" s="209"/>
      <c r="AF22" s="209"/>
      <c r="AG22" s="200"/>
      <c r="AH22" s="200"/>
      <c r="AI22" s="200"/>
      <c r="AJ22" s="200"/>
      <c r="AK22" s="76"/>
      <c r="AL22" s="76"/>
      <c r="AM22" s="95">
        <f t="shared" si="28"/>
        <v>9.8883440638722977</v>
      </c>
      <c r="AN22" s="95">
        <f t="shared" si="29"/>
        <v>0.12733735907111435</v>
      </c>
      <c r="AO22" s="76">
        <f t="shared" si="30"/>
        <v>9.8757685210496167</v>
      </c>
      <c r="AP22" s="209"/>
      <c r="AQ22" s="209"/>
      <c r="AR22" s="200"/>
      <c r="AS22" s="200"/>
      <c r="AT22" s="200"/>
      <c r="AU22" s="200"/>
      <c r="AW22" s="71">
        <v>20.018751589562001</v>
      </c>
      <c r="AX22" s="71">
        <v>59.891706030734397</v>
      </c>
      <c r="AY22" s="73">
        <v>505.24632717744203</v>
      </c>
      <c r="AZ22" s="73">
        <v>70.354185553157393</v>
      </c>
      <c r="BA22" s="75">
        <v>1.86976792212526E-5</v>
      </c>
      <c r="BB22" s="74">
        <v>245572</v>
      </c>
      <c r="BC22" s="73">
        <v>813.83674919722205</v>
      </c>
      <c r="BD22" s="146">
        <f t="shared" si="10"/>
        <v>4411924.2893515928</v>
      </c>
      <c r="BE22" s="145">
        <v>5798.78</v>
      </c>
      <c r="BF22" s="144">
        <f t="shared" si="11"/>
        <v>505.24632717744066</v>
      </c>
      <c r="BG22" s="68">
        <f t="shared" si="12"/>
        <v>0.64462805113919852</v>
      </c>
      <c r="BH22" s="140">
        <f t="shared" si="13"/>
        <v>2.7209177007160121E-2</v>
      </c>
      <c r="BI22" s="140">
        <f t="shared" si="14"/>
        <v>-1.7661342873579633E-3</v>
      </c>
      <c r="BJ22" s="141">
        <f t="shared" si="15"/>
        <v>-6.9449452639238568E-3</v>
      </c>
      <c r="BK22" s="140">
        <f t="shared" si="16"/>
        <v>1.8498097455878302E-2</v>
      </c>
      <c r="BL22" s="143">
        <f t="shared" si="17"/>
        <v>5797.7073360243476</v>
      </c>
      <c r="BM22" s="71">
        <f t="shared" si="18"/>
        <v>505.33980542713192</v>
      </c>
      <c r="BN22" s="142">
        <f t="shared" si="19"/>
        <v>4412740.5624013003</v>
      </c>
      <c r="BO22" s="68">
        <f t="shared" si="20"/>
        <v>0.64470839478695863</v>
      </c>
      <c r="BP22" s="140">
        <f t="shared" si="21"/>
        <v>2.7199538237418799E-2</v>
      </c>
      <c r="BQ22" s="140">
        <f t="shared" si="22"/>
        <v>-1.7657918897643833E-3</v>
      </c>
      <c r="BR22" s="141">
        <f t="shared" si="23"/>
        <v>-6.9462301843528683E-3</v>
      </c>
      <c r="BS22" s="140">
        <f t="shared" si="24"/>
        <v>1.8487516163301548E-2</v>
      </c>
      <c r="BT22" s="71">
        <f t="shared" si="25"/>
        <v>5797.7079496102251</v>
      </c>
      <c r="BU22" s="69">
        <f t="shared" si="26"/>
        <v>505.33975194576129</v>
      </c>
      <c r="BV22" s="68">
        <f t="shared" si="27"/>
        <v>9.8757685210496167</v>
      </c>
    </row>
    <row r="23" spans="2:74" x14ac:dyDescent="0.25">
      <c r="B23" s="99">
        <v>21</v>
      </c>
      <c r="C23" s="98">
        <v>45237.576377314799</v>
      </c>
      <c r="D23" s="73">
        <v>301.77699999999999</v>
      </c>
      <c r="E23" s="73">
        <v>0.98101418060200796</v>
      </c>
      <c r="F23" s="71">
        <v>19.876216400444999</v>
      </c>
      <c r="G23" s="71">
        <v>60.5985794174427</v>
      </c>
      <c r="H23" s="73">
        <f t="shared" si="0"/>
        <v>9.8746700003069598</v>
      </c>
      <c r="I23" s="73">
        <v>71.207529998023603</v>
      </c>
      <c r="J23" s="75">
        <v>1.87083843642238E-5</v>
      </c>
      <c r="K23" s="74">
        <v>296888</v>
      </c>
      <c r="L23" s="73">
        <v>983.79929550628401</v>
      </c>
      <c r="M23" s="71">
        <v>99.6470017042042</v>
      </c>
      <c r="N23" s="73">
        <v>9.8379929550628393</v>
      </c>
      <c r="O23" s="71">
        <f t="shared" si="1"/>
        <v>-0.37142552857949068</v>
      </c>
      <c r="Q23" s="97">
        <f t="shared" si="2"/>
        <v>19.876216400444999</v>
      </c>
      <c r="R23" s="97">
        <f t="shared" si="3"/>
        <v>61.57959359804471</v>
      </c>
      <c r="S23" s="67">
        <v>71.209076563888999</v>
      </c>
      <c r="T23" s="67">
        <v>362.13807269204</v>
      </c>
      <c r="U23" s="67">
        <v>1.5165156880790001</v>
      </c>
      <c r="V23" s="67">
        <v>92.97</v>
      </c>
      <c r="W23" s="67">
        <v>44.7</v>
      </c>
      <c r="X23" s="67">
        <f t="shared" si="4"/>
        <v>2.2350000000000002E-2</v>
      </c>
      <c r="Y23" s="67">
        <v>1</v>
      </c>
      <c r="Z23" s="67">
        <f t="shared" si="5"/>
        <v>0.99935055863674715</v>
      </c>
      <c r="AA23" s="67">
        <f t="shared" si="6"/>
        <v>1.0045272248996797</v>
      </c>
      <c r="AB23" s="67">
        <f t="shared" si="7"/>
        <v>9.8761136368321463</v>
      </c>
      <c r="AC23" s="67">
        <f t="shared" si="8"/>
        <v>1.4619592605540681E-2</v>
      </c>
      <c r="AD23" s="76">
        <f t="shared" si="9"/>
        <v>9.8746700003069598</v>
      </c>
      <c r="AE23" s="209"/>
      <c r="AF23" s="209"/>
      <c r="AG23" s="200"/>
      <c r="AH23" s="200"/>
      <c r="AI23" s="200"/>
      <c r="AJ23" s="200"/>
      <c r="AK23" s="76"/>
      <c r="AL23" s="76"/>
      <c r="AM23" s="95">
        <f t="shared" si="28"/>
        <v>9.8825317617318742</v>
      </c>
      <c r="AN23" s="95">
        <f t="shared" si="29"/>
        <v>7.9615434487126768E-2</v>
      </c>
      <c r="AO23" s="76">
        <f t="shared" si="30"/>
        <v>9.8746700003069598</v>
      </c>
      <c r="AP23" s="209"/>
      <c r="AQ23" s="209"/>
      <c r="AR23" s="200"/>
      <c r="AS23" s="200"/>
      <c r="AT23" s="200"/>
      <c r="AU23" s="200"/>
      <c r="AW23" s="71">
        <v>20.014004051651</v>
      </c>
      <c r="AX23" s="71">
        <v>59.887049580961097</v>
      </c>
      <c r="AY23" s="73">
        <v>505.21914588689299</v>
      </c>
      <c r="AZ23" s="73">
        <v>70.350140968491701</v>
      </c>
      <c r="BA23" s="75">
        <v>1.8697376740429401E-5</v>
      </c>
      <c r="BB23" s="74">
        <v>245584</v>
      </c>
      <c r="BC23" s="73">
        <v>813.79296632944204</v>
      </c>
      <c r="BD23" s="146">
        <f t="shared" si="10"/>
        <v>4411504.6801081328</v>
      </c>
      <c r="BE23" s="145">
        <v>5798.78</v>
      </c>
      <c r="BF23" s="144">
        <f t="shared" si="11"/>
        <v>505.21914588689202</v>
      </c>
      <c r="BG23" s="68">
        <f t="shared" si="12"/>
        <v>0.64458674430038143</v>
      </c>
      <c r="BH23" s="140">
        <f t="shared" si="13"/>
        <v>2.7214132830333578E-2</v>
      </c>
      <c r="BI23" s="140">
        <f t="shared" si="14"/>
        <v>-1.7663354181233261E-3</v>
      </c>
      <c r="BJ23" s="141">
        <f t="shared" si="15"/>
        <v>-6.9447019541829568E-3</v>
      </c>
      <c r="BK23" s="140">
        <f t="shared" si="16"/>
        <v>1.8503095458027297E-2</v>
      </c>
      <c r="BL23" s="143">
        <f t="shared" si="17"/>
        <v>5797.7070462011989</v>
      </c>
      <c r="BM23" s="71">
        <f t="shared" si="18"/>
        <v>505.31264436784085</v>
      </c>
      <c r="BN23" s="142">
        <f t="shared" si="19"/>
        <v>4412321.096092457</v>
      </c>
      <c r="BO23" s="68">
        <f t="shared" si="20"/>
        <v>0.64466710965820562</v>
      </c>
      <c r="BP23" s="140">
        <f t="shared" si="21"/>
        <v>2.720449109755867E-2</v>
      </c>
      <c r="BQ23" s="140">
        <f t="shared" si="22"/>
        <v>-1.7659928882104675E-3</v>
      </c>
      <c r="BR23" s="141">
        <f t="shared" si="23"/>
        <v>-6.9459871768207861E-3</v>
      </c>
      <c r="BS23" s="140">
        <f t="shared" si="24"/>
        <v>1.8492511032527414E-2</v>
      </c>
      <c r="BT23" s="71">
        <f t="shared" si="25"/>
        <v>5797.707659968748</v>
      </c>
      <c r="BU23" s="69">
        <f t="shared" si="26"/>
        <v>505.31259087350799</v>
      </c>
      <c r="BV23" s="68">
        <f t="shared" si="27"/>
        <v>9.8746700003069598</v>
      </c>
    </row>
    <row r="24" spans="2:74" x14ac:dyDescent="0.25">
      <c r="B24" s="99">
        <v>23</v>
      </c>
      <c r="C24" s="98">
        <v>45237.605069444398</v>
      </c>
      <c r="D24" s="73">
        <v>182.72485</v>
      </c>
      <c r="E24" s="73">
        <v>0.98121402747252795</v>
      </c>
      <c r="F24" s="71">
        <v>19.924951232301002</v>
      </c>
      <c r="G24" s="71">
        <v>60.493143484089501</v>
      </c>
      <c r="H24" s="73">
        <f t="shared" si="0"/>
        <v>8.0218749369137416</v>
      </c>
      <c r="I24" s="73">
        <v>71.072817487970298</v>
      </c>
      <c r="J24" s="75">
        <v>1.8707907543868E-5</v>
      </c>
      <c r="K24" s="74">
        <v>146127</v>
      </c>
      <c r="L24" s="73">
        <v>799.71060312814598</v>
      </c>
      <c r="M24" s="71">
        <v>99.721626736489398</v>
      </c>
      <c r="N24" s="73">
        <v>7.9971060312814597</v>
      </c>
      <c r="O24" s="71">
        <f t="shared" si="1"/>
        <v>-0.30876703796894778</v>
      </c>
      <c r="Q24" s="97">
        <f t="shared" si="2"/>
        <v>19.924951232301002</v>
      </c>
      <c r="R24" s="97">
        <f t="shared" si="3"/>
        <v>61.474357511562026</v>
      </c>
      <c r="S24" s="67">
        <v>71.074365304085006</v>
      </c>
      <c r="T24" s="67">
        <v>362.139327169274</v>
      </c>
      <c r="U24" s="67">
        <v>1.516248458572</v>
      </c>
      <c r="V24" s="67">
        <v>92.97</v>
      </c>
      <c r="W24" s="67">
        <v>44.7</v>
      </c>
      <c r="X24" s="67">
        <f t="shared" si="4"/>
        <v>2.2350000000000002E-2</v>
      </c>
      <c r="Y24" s="67">
        <v>1</v>
      </c>
      <c r="Z24" s="67">
        <f t="shared" si="5"/>
        <v>0.99935056313324244</v>
      </c>
      <c r="AA24" s="67">
        <f t="shared" si="6"/>
        <v>1.0045190327240689</v>
      </c>
      <c r="AB24" s="67">
        <f t="shared" si="7"/>
        <v>8.0280281295322578</v>
      </c>
      <c r="AC24" s="67">
        <f t="shared" si="8"/>
        <v>7.6705167643556171E-2</v>
      </c>
      <c r="AD24" s="76">
        <f t="shared" si="9"/>
        <v>8.0218749369137416</v>
      </c>
      <c r="AE24" s="200">
        <f>AVERAGE(AD24:AD26)</f>
        <v>8.0219549349652013</v>
      </c>
      <c r="AF24" s="200">
        <f>AVERAGE(AC24:AC26)</f>
        <v>0.1580908253534499</v>
      </c>
      <c r="AG24" s="200">
        <f>STDEV(AC24:AC26)</f>
        <v>0.10430390622169701</v>
      </c>
      <c r="AH24" s="200">
        <f>AG24*4.303/SQRT(2)</f>
        <v>0.31736345939069383</v>
      </c>
      <c r="AI24" s="200">
        <v>0.25</v>
      </c>
      <c r="AJ24" s="200">
        <f>SQRT(AI24^2+AH24^2)</f>
        <v>0.4040044125457401</v>
      </c>
      <c r="AK24" s="76"/>
      <c r="AL24" s="76"/>
      <c r="AM24" s="95">
        <f t="shared" si="28"/>
        <v>8.03324521513467</v>
      </c>
      <c r="AN24" s="95">
        <f t="shared" si="29"/>
        <v>0.14174090608925508</v>
      </c>
      <c r="AO24" s="76">
        <f t="shared" si="30"/>
        <v>8.0218749369137416</v>
      </c>
      <c r="AP24" s="200">
        <f>AVERAGE(AO24:AO26)</f>
        <v>8.0219549349652013</v>
      </c>
      <c r="AQ24" s="200">
        <f>AVERAGE(AN24:AN26)</f>
        <v>0.22317909647570131</v>
      </c>
      <c r="AR24" s="200">
        <f>STDEV(AN24:AN26)</f>
        <v>0.10437303447789784</v>
      </c>
      <c r="AS24" s="200">
        <f>AR24*4.303/SQRT(2)</f>
        <v>0.31757379458641416</v>
      </c>
      <c r="AT24" s="200">
        <v>0.25</v>
      </c>
      <c r="AU24" s="200">
        <f>SQRT(AT24^2+AS24^2)</f>
        <v>0.40416966116720582</v>
      </c>
      <c r="AW24" s="71">
        <v>20.004384640367999</v>
      </c>
      <c r="AX24" s="71">
        <v>60.026491794388399</v>
      </c>
      <c r="AY24" s="73">
        <v>409.42402306990903</v>
      </c>
      <c r="AZ24" s="73">
        <v>70.5135661370484</v>
      </c>
      <c r="BA24" s="75">
        <v>1.8700241312136499E-5</v>
      </c>
      <c r="BB24" s="74">
        <v>120505</v>
      </c>
      <c r="BC24" s="73">
        <v>659.48884347148203</v>
      </c>
      <c r="BD24" s="146">
        <f t="shared" si="10"/>
        <v>3582790.7197720548</v>
      </c>
      <c r="BE24" s="145">
        <v>5798.78</v>
      </c>
      <c r="BF24" s="144">
        <f t="shared" si="11"/>
        <v>409.42402306991045</v>
      </c>
      <c r="BG24" s="68">
        <f t="shared" si="12"/>
        <v>0.55422144062420264</v>
      </c>
      <c r="BH24" s="140">
        <f t="shared" si="13"/>
        <v>3.8323144633551569E-2</v>
      </c>
      <c r="BI24" s="140">
        <f t="shared" si="14"/>
        <v>-2.1990135447640846E-3</v>
      </c>
      <c r="BJ24" s="141">
        <f t="shared" si="15"/>
        <v>-5.628071850670574E-3</v>
      </c>
      <c r="BK24" s="140">
        <f t="shared" si="16"/>
        <v>3.0496059238116907E-2</v>
      </c>
      <c r="BL24" s="143">
        <f t="shared" si="17"/>
        <v>5797.0116006161115</v>
      </c>
      <c r="BM24" s="71">
        <f t="shared" si="18"/>
        <v>409.54891935096481</v>
      </c>
      <c r="BN24" s="142">
        <f t="shared" si="19"/>
        <v>3583883.6630569659</v>
      </c>
      <c r="BO24" s="68">
        <f t="shared" si="20"/>
        <v>0.55435390352568092</v>
      </c>
      <c r="BP24" s="140">
        <f t="shared" si="21"/>
        <v>3.8306711117454421E-2</v>
      </c>
      <c r="BQ24" s="140">
        <f t="shared" si="22"/>
        <v>-2.1983036189261338E-3</v>
      </c>
      <c r="BR24" s="141">
        <f t="shared" si="23"/>
        <v>-5.6297887143718899E-3</v>
      </c>
      <c r="BS24" s="140">
        <f t="shared" si="24"/>
        <v>3.0478618784156399E-2</v>
      </c>
      <c r="BT24" s="71">
        <f t="shared" si="25"/>
        <v>5797.0126119496681</v>
      </c>
      <c r="BU24" s="69">
        <f t="shared" si="26"/>
        <v>409.54884790199742</v>
      </c>
      <c r="BV24" s="68">
        <f t="shared" si="27"/>
        <v>8.0218749369137416</v>
      </c>
    </row>
    <row r="25" spans="2:74" x14ac:dyDescent="0.25">
      <c r="B25" s="99">
        <v>24</v>
      </c>
      <c r="C25" s="98">
        <v>45237.609363425901</v>
      </c>
      <c r="D25" s="73">
        <v>181.9228</v>
      </c>
      <c r="E25" s="73">
        <v>0.98122794475137998</v>
      </c>
      <c r="F25" s="71">
        <v>19.937198735310002</v>
      </c>
      <c r="G25" s="71">
        <v>60.490895633087597</v>
      </c>
      <c r="H25" s="73">
        <f t="shared" si="0"/>
        <v>8.0221885052538582</v>
      </c>
      <c r="I25" s="73">
        <v>71.066852403010799</v>
      </c>
      <c r="J25" s="75">
        <v>1.8708355286081999E-5</v>
      </c>
      <c r="K25" s="74">
        <v>145557</v>
      </c>
      <c r="L25" s="73">
        <v>800.10312066436995</v>
      </c>
      <c r="M25" s="71">
        <v>99.766670897500802</v>
      </c>
      <c r="N25" s="73">
        <v>8.0010312066437006</v>
      </c>
      <c r="O25" s="71">
        <f t="shared" si="1"/>
        <v>-0.26373474764774391</v>
      </c>
      <c r="Q25" s="97">
        <f t="shared" si="2"/>
        <v>19.937198735310002</v>
      </c>
      <c r="R25" s="97">
        <f t="shared" si="3"/>
        <v>61.472123577838978</v>
      </c>
      <c r="S25" s="67">
        <v>71.068400182323003</v>
      </c>
      <c r="T25" s="67">
        <v>362.14668258366697</v>
      </c>
      <c r="U25" s="67">
        <v>1.5162378905439999</v>
      </c>
      <c r="V25" s="67">
        <v>92.97</v>
      </c>
      <c r="W25" s="67">
        <v>44.7</v>
      </c>
      <c r="X25" s="67">
        <f t="shared" si="4"/>
        <v>2.2350000000000002E-2</v>
      </c>
      <c r="Y25" s="67">
        <v>1</v>
      </c>
      <c r="Z25" s="67">
        <f t="shared" si="5"/>
        <v>0.99935058949674016</v>
      </c>
      <c r="AA25" s="67">
        <f t="shared" si="6"/>
        <v>1.0045188580716882</v>
      </c>
      <c r="AB25" s="67">
        <f t="shared" si="7"/>
        <v>8.0319672976138374</v>
      </c>
      <c r="AC25" s="67">
        <f t="shared" si="8"/>
        <v>0.12189681598200994</v>
      </c>
      <c r="AD25" s="76">
        <f t="shared" si="9"/>
        <v>8.0221885052538582</v>
      </c>
      <c r="AE25" s="208"/>
      <c r="AF25" s="208"/>
      <c r="AG25" s="200"/>
      <c r="AH25" s="200"/>
      <c r="AI25" s="200"/>
      <c r="AJ25" s="200"/>
      <c r="AK25" s="76"/>
      <c r="AL25" s="76"/>
      <c r="AM25" s="95">
        <f t="shared" si="28"/>
        <v>8.0371867310936711</v>
      </c>
      <c r="AN25" s="95">
        <f t="shared" si="29"/>
        <v>0.1869592796278764</v>
      </c>
      <c r="AO25" s="76">
        <f t="shared" si="30"/>
        <v>8.0221885052538582</v>
      </c>
      <c r="AP25" s="208"/>
      <c r="AQ25" s="208"/>
      <c r="AR25" s="200"/>
      <c r="AS25" s="200"/>
      <c r="AT25" s="200"/>
      <c r="AU25" s="200"/>
      <c r="AW25" s="71">
        <v>20.011029470539</v>
      </c>
      <c r="AX25" s="71">
        <v>60.023850860417902</v>
      </c>
      <c r="AY25" s="73">
        <v>409.46819176723699</v>
      </c>
      <c r="AZ25" s="73">
        <v>70.508717280540694</v>
      </c>
      <c r="BA25" s="75">
        <v>1.87004517276947E-5</v>
      </c>
      <c r="BB25" s="74">
        <v>119989</v>
      </c>
      <c r="BC25" s="73">
        <v>659.55998918222497</v>
      </c>
      <c r="BD25" s="146">
        <f t="shared" si="10"/>
        <v>3582890.5200292394</v>
      </c>
      <c r="BE25" s="145">
        <v>5798.78</v>
      </c>
      <c r="BF25" s="144">
        <f t="shared" si="11"/>
        <v>409.46819176723551</v>
      </c>
      <c r="BG25" s="68">
        <f t="shared" si="12"/>
        <v>0.55423353792508445</v>
      </c>
      <c r="BH25" s="140">
        <f t="shared" si="13"/>
        <v>3.832164383687868E-2</v>
      </c>
      <c r="BI25" s="140">
        <f t="shared" si="14"/>
        <v>-2.1989136402320178E-3</v>
      </c>
      <c r="BJ25" s="141">
        <f t="shared" si="15"/>
        <v>-5.6285343191043013E-3</v>
      </c>
      <c r="BK25" s="140">
        <f t="shared" si="16"/>
        <v>3.049419587754236E-2</v>
      </c>
      <c r="BL25" s="143">
        <f t="shared" si="17"/>
        <v>5797.0117086682922</v>
      </c>
      <c r="BM25" s="71">
        <f t="shared" si="18"/>
        <v>409.59309388758646</v>
      </c>
      <c r="BN25" s="142">
        <f t="shared" si="19"/>
        <v>3583983.4269556743</v>
      </c>
      <c r="BO25" s="68">
        <f t="shared" si="20"/>
        <v>0.55436599273162201</v>
      </c>
      <c r="BP25" s="140">
        <f t="shared" si="21"/>
        <v>3.8305211303389188E-2</v>
      </c>
      <c r="BQ25" s="140">
        <f t="shared" si="22"/>
        <v>-2.1982037940136345E-3</v>
      </c>
      <c r="BR25" s="141">
        <f t="shared" si="23"/>
        <v>-5.6302512189394024E-3</v>
      </c>
      <c r="BS25" s="140">
        <f t="shared" si="24"/>
        <v>3.0476756290436148E-2</v>
      </c>
      <c r="BT25" s="71">
        <f t="shared" si="25"/>
        <v>5797.0127199515809</v>
      </c>
      <c r="BU25" s="69">
        <f t="shared" si="26"/>
        <v>409.59302243446552</v>
      </c>
      <c r="BV25" s="68">
        <f t="shared" si="27"/>
        <v>8.0221885052538582</v>
      </c>
    </row>
    <row r="26" spans="2:74" x14ac:dyDescent="0.25">
      <c r="B26" s="99">
        <v>25</v>
      </c>
      <c r="C26" s="98">
        <v>45237.612013888902</v>
      </c>
      <c r="D26" s="73">
        <v>181.76731000000001</v>
      </c>
      <c r="E26" s="73">
        <v>0.98123939779005598</v>
      </c>
      <c r="F26" s="71">
        <v>19.921869377802</v>
      </c>
      <c r="G26" s="71">
        <v>60.4850064861078</v>
      </c>
      <c r="H26" s="73">
        <f t="shared" si="0"/>
        <v>8.0218013627280058</v>
      </c>
      <c r="I26" s="73">
        <v>71.064330035967203</v>
      </c>
      <c r="J26" s="75">
        <v>1.8707591699464401E-5</v>
      </c>
      <c r="K26" s="74">
        <v>145649</v>
      </c>
      <c r="L26" s="73">
        <v>801.293697970224</v>
      </c>
      <c r="M26" s="71">
        <v>99.919948997735503</v>
      </c>
      <c r="N26" s="73">
        <v>8.0129369797022392</v>
      </c>
      <c r="O26" s="71">
        <f t="shared" si="1"/>
        <v>-0.11050364656190011</v>
      </c>
      <c r="Q26" s="97">
        <f t="shared" si="2"/>
        <v>19.921869377802</v>
      </c>
      <c r="R26" s="97">
        <f t="shared" si="3"/>
        <v>61.466245883897855</v>
      </c>
      <c r="S26" s="67">
        <v>71.065877985030994</v>
      </c>
      <c r="T26" s="67">
        <v>362.13495523599198</v>
      </c>
      <c r="U26" s="67">
        <v>1.516230859832</v>
      </c>
      <c r="V26" s="67">
        <v>92.97</v>
      </c>
      <c r="W26" s="67">
        <v>44.7</v>
      </c>
      <c r="X26" s="67">
        <f t="shared" si="4"/>
        <v>2.2350000000000002E-2</v>
      </c>
      <c r="Y26" s="67">
        <v>1</v>
      </c>
      <c r="Z26" s="67">
        <f t="shared" si="5"/>
        <v>0.99935054746246699</v>
      </c>
      <c r="AA26" s="67">
        <f t="shared" si="6"/>
        <v>1.0045184005000376</v>
      </c>
      <c r="AB26" s="67">
        <f t="shared" si="7"/>
        <v>8.0439151020467783</v>
      </c>
      <c r="AC26" s="67">
        <f t="shared" si="8"/>
        <v>0.27567049243478359</v>
      </c>
      <c r="AD26" s="76">
        <f t="shared" si="9"/>
        <v>8.0218013627280058</v>
      </c>
      <c r="AE26" s="208"/>
      <c r="AF26" s="208"/>
      <c r="AG26" s="200"/>
      <c r="AH26" s="200"/>
      <c r="AI26" s="200"/>
      <c r="AJ26" s="200"/>
      <c r="AK26" s="76"/>
      <c r="AL26" s="76"/>
      <c r="AM26" s="95">
        <f t="shared" si="28"/>
        <v>8.0491426381580951</v>
      </c>
      <c r="AN26" s="95">
        <f t="shared" si="29"/>
        <v>0.3408371037099725</v>
      </c>
      <c r="AO26" s="76">
        <f t="shared" si="30"/>
        <v>8.0218013627280058</v>
      </c>
      <c r="AP26" s="208"/>
      <c r="AQ26" s="208"/>
      <c r="AR26" s="200"/>
      <c r="AS26" s="200"/>
      <c r="AT26" s="200"/>
      <c r="AU26" s="200"/>
      <c r="AW26" s="71">
        <v>19.997393658486999</v>
      </c>
      <c r="AX26" s="71">
        <v>60.018371254382998</v>
      </c>
      <c r="AY26" s="73">
        <v>409.46325635845398</v>
      </c>
      <c r="AZ26" s="73">
        <v>70.5061642276534</v>
      </c>
      <c r="BA26" s="75">
        <v>1.8699766455861501E-5</v>
      </c>
      <c r="BB26" s="74">
        <v>119885</v>
      </c>
      <c r="BC26" s="73">
        <v>659.55203936285398</v>
      </c>
      <c r="BD26" s="146">
        <f t="shared" si="10"/>
        <v>3582848.8955214294</v>
      </c>
      <c r="BE26" s="145">
        <v>5798.78</v>
      </c>
      <c r="BF26" s="144">
        <f t="shared" si="11"/>
        <v>409.46325635845375</v>
      </c>
      <c r="BG26" s="68">
        <f t="shared" si="12"/>
        <v>0.55422849244603312</v>
      </c>
      <c r="BH26" s="140">
        <f t="shared" si="13"/>
        <v>3.8322269781556319E-2</v>
      </c>
      <c r="BI26" s="140">
        <f t="shared" si="14"/>
        <v>-2.1990213230809168E-3</v>
      </c>
      <c r="BJ26" s="141">
        <f t="shared" si="15"/>
        <v>-5.6287672069120238E-3</v>
      </c>
      <c r="BK26" s="140">
        <f t="shared" si="16"/>
        <v>3.0494481251563378E-2</v>
      </c>
      <c r="BL26" s="143">
        <f t="shared" si="17"/>
        <v>5797.0116921200806</v>
      </c>
      <c r="BM26" s="71">
        <f t="shared" si="18"/>
        <v>409.58815814254717</v>
      </c>
      <c r="BN26" s="142">
        <f t="shared" si="19"/>
        <v>3583941.7999816914</v>
      </c>
      <c r="BO26" s="68">
        <f t="shared" si="20"/>
        <v>0.55436094849231232</v>
      </c>
      <c r="BP26" s="140">
        <f t="shared" si="21"/>
        <v>3.8305837103296103E-2</v>
      </c>
      <c r="BQ26" s="140">
        <f t="shared" si="22"/>
        <v>-2.1983114350115252E-3</v>
      </c>
      <c r="BR26" s="141">
        <f t="shared" si="23"/>
        <v>-5.6304841938588914E-3</v>
      </c>
      <c r="BS26" s="140">
        <f t="shared" si="24"/>
        <v>3.0477041474425683E-2</v>
      </c>
      <c r="BT26" s="71">
        <f t="shared" si="25"/>
        <v>5797.0127034143889</v>
      </c>
      <c r="BU26" s="69">
        <f t="shared" si="26"/>
        <v>409.58808668950843</v>
      </c>
      <c r="BV26" s="68">
        <f t="shared" si="27"/>
        <v>8.0218013627280058</v>
      </c>
    </row>
    <row r="27" spans="2:74" x14ac:dyDescent="0.25">
      <c r="B27" s="99">
        <v>27</v>
      </c>
      <c r="C27" s="98">
        <v>45237.619976851798</v>
      </c>
      <c r="D27" s="73">
        <v>181.75496000000001</v>
      </c>
      <c r="E27" s="73">
        <v>0.98121033149171299</v>
      </c>
      <c r="F27" s="71">
        <v>19.904142758957999</v>
      </c>
      <c r="G27" s="71">
        <v>60.433179564845503</v>
      </c>
      <c r="H27" s="73">
        <f t="shared" si="0"/>
        <v>6.5369783362776692</v>
      </c>
      <c r="I27" s="73">
        <v>71.009518720414405</v>
      </c>
      <c r="J27" s="75">
        <v>1.8705653297941699E-5</v>
      </c>
      <c r="K27" s="74">
        <v>118670</v>
      </c>
      <c r="L27" s="73">
        <v>652.91203057126995</v>
      </c>
      <c r="M27" s="71">
        <v>99.921593606028395</v>
      </c>
      <c r="N27" s="73">
        <v>6.5291203057127003</v>
      </c>
      <c r="O27" s="71">
        <f t="shared" si="1"/>
        <v>-0.12020891244751308</v>
      </c>
      <c r="Q27" s="97">
        <f t="shared" si="2"/>
        <v>19.904142758957999</v>
      </c>
      <c r="R27" s="97">
        <f t="shared" si="3"/>
        <v>61.414389896337212</v>
      </c>
      <c r="S27" s="67">
        <v>71.011067505937007</v>
      </c>
      <c r="T27" s="67">
        <v>362.10830092968803</v>
      </c>
      <c r="U27" s="67">
        <v>1.516117500744</v>
      </c>
      <c r="V27" s="67">
        <v>92.97</v>
      </c>
      <c r="W27" s="67">
        <v>44.7</v>
      </c>
      <c r="X27" s="67">
        <f t="shared" si="4"/>
        <v>2.2350000000000002E-2</v>
      </c>
      <c r="Y27" s="67">
        <v>1</v>
      </c>
      <c r="Z27" s="67">
        <f t="shared" si="5"/>
        <v>0.99935045191039373</v>
      </c>
      <c r="AA27" s="67">
        <f t="shared" si="6"/>
        <v>1.004514373698852</v>
      </c>
      <c r="AB27" s="67">
        <f t="shared" si="7"/>
        <v>6.554335071718234</v>
      </c>
      <c r="AC27" s="67">
        <f t="shared" si="8"/>
        <v>0.26551618420152528</v>
      </c>
      <c r="AD27" s="76">
        <f t="shared" si="9"/>
        <v>6.5369783362776692</v>
      </c>
      <c r="AE27" s="200">
        <f>AVERAGE(AD27:AD31)</f>
        <v>6.5356383858086087</v>
      </c>
      <c r="AF27" s="200">
        <f>AVERAGE(AC27:AC31)</f>
        <v>0.16597820900635268</v>
      </c>
      <c r="AG27" s="200">
        <f>STDEV(AC27:AC31)</f>
        <v>9.2877606793814863E-2</v>
      </c>
      <c r="AH27" s="200">
        <f>AG27*2.776/SQRT(2)</f>
        <v>0.18231209438197304</v>
      </c>
      <c r="AI27" s="200">
        <v>0.25</v>
      </c>
      <c r="AJ27" s="200">
        <f>SQRT(AI27^2+AH27^2)</f>
        <v>0.30941509297049724</v>
      </c>
      <c r="AK27" s="76"/>
      <c r="AL27" s="76"/>
      <c r="AM27" s="95">
        <f t="shared" si="28"/>
        <v>6.5585951946974506</v>
      </c>
      <c r="AN27" s="95">
        <f t="shared" si="29"/>
        <v>0.33068578948497107</v>
      </c>
      <c r="AO27" s="76">
        <f t="shared" si="30"/>
        <v>6.5369783362776692</v>
      </c>
      <c r="AP27" s="200">
        <f>AVERAGE(AO27:AO31)</f>
        <v>6.5356383858086087</v>
      </c>
      <c r="AQ27" s="200">
        <f>AVERAGE(AN27:AN31)</f>
        <v>0.23108987492357294</v>
      </c>
      <c r="AR27" s="200">
        <f>STDEV(AN27:AN31)</f>
        <v>9.2935891240452664E-2</v>
      </c>
      <c r="AS27" s="200">
        <f>AR27*2.776/SQRT(2)</f>
        <v>0.18242650257898893</v>
      </c>
      <c r="AT27" s="200">
        <v>0.25</v>
      </c>
      <c r="AU27" s="200">
        <f>SQRT(AT27^2+AS27^2)</f>
        <v>0.30948251783130148</v>
      </c>
      <c r="AW27" s="71">
        <v>19.960125131546</v>
      </c>
      <c r="AX27" s="71">
        <v>60.126156150912102</v>
      </c>
      <c r="AY27" s="73">
        <v>332.99991463224001</v>
      </c>
      <c r="AZ27" s="73">
        <v>70.640489141474404</v>
      </c>
      <c r="BA27" s="75">
        <v>1.87007590607589E-5</v>
      </c>
      <c r="BB27" s="74">
        <v>97491</v>
      </c>
      <c r="BC27" s="73">
        <v>536.38701249198402</v>
      </c>
      <c r="BD27" s="146">
        <f t="shared" si="10"/>
        <v>2919182.4270919333</v>
      </c>
      <c r="BE27" s="145">
        <v>5798.78</v>
      </c>
      <c r="BF27" s="144">
        <f t="shared" si="11"/>
        <v>332.99991463224035</v>
      </c>
      <c r="BG27" s="68">
        <f t="shared" si="12"/>
        <v>0.46526123599650171</v>
      </c>
      <c r="BH27" s="140">
        <f t="shared" si="13"/>
        <v>4.9170976284542631E-2</v>
      </c>
      <c r="BI27" s="140">
        <f t="shared" si="14"/>
        <v>-2.7351549226438824E-3</v>
      </c>
      <c r="BJ27" s="141">
        <f t="shared" si="15"/>
        <v>-4.578282413917157E-3</v>
      </c>
      <c r="BK27" s="140">
        <f t="shared" si="16"/>
        <v>4.1857538947981596E-2</v>
      </c>
      <c r="BL27" s="143">
        <f t="shared" si="17"/>
        <v>5796.3527734029922</v>
      </c>
      <c r="BM27" s="71">
        <f t="shared" si="18"/>
        <v>333.1393585690044</v>
      </c>
      <c r="BN27" s="142">
        <f t="shared" si="19"/>
        <v>2920404.8366838866</v>
      </c>
      <c r="BO27" s="68">
        <f t="shared" si="20"/>
        <v>0.46544305903439287</v>
      </c>
      <c r="BP27" s="140">
        <f t="shared" si="21"/>
        <v>4.9149448254681996E-2</v>
      </c>
      <c r="BQ27" s="140">
        <f t="shared" si="22"/>
        <v>-2.7339286402738075E-3</v>
      </c>
      <c r="BR27" s="141">
        <f t="shared" si="23"/>
        <v>-4.5801995727372102E-3</v>
      </c>
      <c r="BS27" s="140">
        <f t="shared" si="24"/>
        <v>4.1835320041670974E-2</v>
      </c>
      <c r="BT27" s="71">
        <f t="shared" si="25"/>
        <v>5796.3540618284869</v>
      </c>
      <c r="BU27" s="69">
        <f t="shared" si="26"/>
        <v>333.13928451810301</v>
      </c>
      <c r="BV27" s="68">
        <f t="shared" si="27"/>
        <v>6.5369783362776692</v>
      </c>
    </row>
    <row r="28" spans="2:74" x14ac:dyDescent="0.25">
      <c r="B28" s="99">
        <v>28</v>
      </c>
      <c r="C28" s="98">
        <v>45237.626805555599</v>
      </c>
      <c r="D28" s="73">
        <v>181.75961000000001</v>
      </c>
      <c r="E28" s="73">
        <v>0.98128557458563404</v>
      </c>
      <c r="F28" s="71">
        <v>19.885299728886999</v>
      </c>
      <c r="G28" s="71">
        <v>60.413095034309102</v>
      </c>
      <c r="H28" s="73">
        <f t="shared" si="0"/>
        <v>6.5350649404461407</v>
      </c>
      <c r="I28" s="73">
        <v>70.991687871305899</v>
      </c>
      <c r="J28" s="75">
        <v>1.8704415156826E-5</v>
      </c>
      <c r="K28" s="74">
        <v>118487</v>
      </c>
      <c r="L28" s="73">
        <v>651.88850262167705</v>
      </c>
      <c r="M28" s="71">
        <v>99.794173214318207</v>
      </c>
      <c r="N28" s="73">
        <v>6.5188850262167701</v>
      </c>
      <c r="O28" s="71">
        <f t="shared" si="1"/>
        <v>-0.24758612770978847</v>
      </c>
      <c r="Q28" s="97">
        <f t="shared" si="2"/>
        <v>19.885299728886999</v>
      </c>
      <c r="R28" s="97">
        <f t="shared" si="3"/>
        <v>61.394380608894735</v>
      </c>
      <c r="S28" s="67">
        <v>70.993237048425996</v>
      </c>
      <c r="T28" s="67">
        <v>362.09017214300599</v>
      </c>
      <c r="U28" s="67">
        <v>1.5160789974640001</v>
      </c>
      <c r="V28" s="67">
        <v>92.97</v>
      </c>
      <c r="W28" s="67">
        <v>44.7</v>
      </c>
      <c r="X28" s="67">
        <f t="shared" si="4"/>
        <v>2.2350000000000002E-2</v>
      </c>
      <c r="Y28" s="67">
        <v>1</v>
      </c>
      <c r="Z28" s="67">
        <f t="shared" si="5"/>
        <v>0.9993503869091056</v>
      </c>
      <c r="AA28" s="67">
        <f t="shared" si="6"/>
        <v>1.00451281319787</v>
      </c>
      <c r="AB28" s="67">
        <f t="shared" si="7"/>
        <v>6.5440496728979536</v>
      </c>
      <c r="AC28" s="67">
        <f t="shared" si="8"/>
        <v>0.1374849757988707</v>
      </c>
      <c r="AD28" s="76">
        <f t="shared" si="9"/>
        <v>6.5350649404461407</v>
      </c>
      <c r="AE28" s="200"/>
      <c r="AF28" s="200"/>
      <c r="AG28" s="200"/>
      <c r="AH28" s="200"/>
      <c r="AI28" s="200"/>
      <c r="AJ28" s="200"/>
      <c r="AK28" s="76"/>
      <c r="AL28" s="76"/>
      <c r="AM28" s="95">
        <f t="shared" si="28"/>
        <v>6.5483035365984783</v>
      </c>
      <c r="AN28" s="95">
        <f t="shared" si="29"/>
        <v>0.20257788213247346</v>
      </c>
      <c r="AO28" s="76">
        <f t="shared" si="30"/>
        <v>6.5350649404461407</v>
      </c>
      <c r="AP28" s="200"/>
      <c r="AQ28" s="200"/>
      <c r="AR28" s="200"/>
      <c r="AS28" s="200"/>
      <c r="AT28" s="200"/>
      <c r="AU28" s="200"/>
      <c r="AW28" s="71">
        <v>19.936109782275999</v>
      </c>
      <c r="AX28" s="71">
        <v>60.1064687218458</v>
      </c>
      <c r="AY28" s="73">
        <v>332.97773296839802</v>
      </c>
      <c r="AZ28" s="73">
        <v>70.624509670894199</v>
      </c>
      <c r="BA28" s="75">
        <v>1.86993190324781E-5</v>
      </c>
      <c r="BB28" s="74">
        <v>97487</v>
      </c>
      <c r="BC28" s="73">
        <v>536.35128288402495</v>
      </c>
      <c r="BD28" s="146">
        <f t="shared" si="10"/>
        <v>2918552.4155154321</v>
      </c>
      <c r="BE28" s="145">
        <v>5798.78</v>
      </c>
      <c r="BF28" s="144">
        <f t="shared" si="11"/>
        <v>332.97773296839853</v>
      </c>
      <c r="BG28" s="68">
        <f t="shared" si="12"/>
        <v>0.46516749739423602</v>
      </c>
      <c r="BH28" s="140">
        <f t="shared" si="13"/>
        <v>4.918207360861699E-2</v>
      </c>
      <c r="BI28" s="140">
        <f t="shared" si="14"/>
        <v>-2.7359689902524283E-3</v>
      </c>
      <c r="BJ28" s="141">
        <f t="shared" si="15"/>
        <v>-4.5784112946222824E-3</v>
      </c>
      <c r="BK28" s="140">
        <f t="shared" si="16"/>
        <v>4.186769332374228E-2</v>
      </c>
      <c r="BL28" s="143">
        <f t="shared" si="17"/>
        <v>5796.3521845730811</v>
      </c>
      <c r="BM28" s="71">
        <f t="shared" si="18"/>
        <v>333.11720145671302</v>
      </c>
      <c r="BN28" s="142">
        <f t="shared" si="19"/>
        <v>2919774.8578986805</v>
      </c>
      <c r="BO28" s="68">
        <f t="shared" si="20"/>
        <v>0.46534936455048992</v>
      </c>
      <c r="BP28" s="140">
        <f t="shared" si="21"/>
        <v>4.9160542229248455E-2</v>
      </c>
      <c r="BQ28" s="140">
        <f t="shared" si="22"/>
        <v>-2.734742040293395E-3</v>
      </c>
      <c r="BR28" s="141">
        <f t="shared" si="23"/>
        <v>-4.5803289727097945E-3</v>
      </c>
      <c r="BS28" s="140">
        <f t="shared" si="24"/>
        <v>4.1845471216245267E-2</v>
      </c>
      <c r="BT28" s="71">
        <f t="shared" si="25"/>
        <v>5796.3534731842065</v>
      </c>
      <c r="BU28" s="69">
        <f t="shared" si="26"/>
        <v>333.11712740006107</v>
      </c>
      <c r="BV28" s="68">
        <f t="shared" si="27"/>
        <v>6.5350649404461407</v>
      </c>
    </row>
    <row r="29" spans="2:74" x14ac:dyDescent="0.25">
      <c r="B29" s="99">
        <v>29</v>
      </c>
      <c r="C29" s="98">
        <v>45237.629236111097</v>
      </c>
      <c r="D29" s="73">
        <v>181.7868</v>
      </c>
      <c r="E29" s="73">
        <v>0.98131011049723704</v>
      </c>
      <c r="F29" s="71">
        <v>19.882463807819001</v>
      </c>
      <c r="G29" s="71">
        <v>60.407881147967601</v>
      </c>
      <c r="H29" s="73">
        <f t="shared" si="0"/>
        <v>6.5362615928155066</v>
      </c>
      <c r="I29" s="73">
        <v>70.986495465929195</v>
      </c>
      <c r="J29" s="75">
        <v>1.87041778074156E-5</v>
      </c>
      <c r="K29" s="74">
        <v>118464</v>
      </c>
      <c r="L29" s="73">
        <v>651.66447728877995</v>
      </c>
      <c r="M29" s="71">
        <v>99.741603277623895</v>
      </c>
      <c r="N29" s="73">
        <v>6.5166447728878003</v>
      </c>
      <c r="O29" s="71">
        <f t="shared" si="1"/>
        <v>-0.30012293188003009</v>
      </c>
      <c r="Q29" s="97">
        <f t="shared" si="2"/>
        <v>19.882463807819001</v>
      </c>
      <c r="R29" s="97">
        <f t="shared" si="3"/>
        <v>61.389191258464841</v>
      </c>
      <c r="S29" s="67">
        <v>70.988044732741997</v>
      </c>
      <c r="T29" s="67">
        <v>362.08681119523499</v>
      </c>
      <c r="U29" s="67">
        <v>1.5160681171099999</v>
      </c>
      <c r="V29" s="67">
        <v>92.97</v>
      </c>
      <c r="W29" s="67">
        <v>44.7</v>
      </c>
      <c r="X29" s="67">
        <f t="shared" si="4"/>
        <v>2.2350000000000002E-2</v>
      </c>
      <c r="Y29" s="67">
        <v>1</v>
      </c>
      <c r="Z29" s="67">
        <f t="shared" si="5"/>
        <v>0.99935037485725842</v>
      </c>
      <c r="AA29" s="67">
        <f t="shared" si="6"/>
        <v>1.0045124080970975</v>
      </c>
      <c r="AB29" s="67">
        <f t="shared" si="7"/>
        <v>6.5417980545146515</v>
      </c>
      <c r="AC29" s="67">
        <f t="shared" si="8"/>
        <v>8.4703796207153639E-2</v>
      </c>
      <c r="AD29" s="76">
        <f t="shared" si="9"/>
        <v>6.5362615928155066</v>
      </c>
      <c r="AE29" s="200"/>
      <c r="AF29" s="200"/>
      <c r="AG29" s="200"/>
      <c r="AH29" s="200"/>
      <c r="AI29" s="200"/>
      <c r="AJ29" s="200"/>
      <c r="AK29" s="76"/>
      <c r="AL29" s="76"/>
      <c r="AM29" s="95">
        <f t="shared" si="28"/>
        <v>6.5460505335268877</v>
      </c>
      <c r="AN29" s="95">
        <f t="shared" si="29"/>
        <v>0.14976360068178576</v>
      </c>
      <c r="AO29" s="76">
        <f t="shared" si="30"/>
        <v>6.5362615928155066</v>
      </c>
      <c r="AP29" s="200"/>
      <c r="AQ29" s="200"/>
      <c r="AR29" s="200"/>
      <c r="AS29" s="200"/>
      <c r="AT29" s="200"/>
      <c r="AU29" s="200"/>
      <c r="AW29" s="71">
        <v>19.929448931141</v>
      </c>
      <c r="AX29" s="71">
        <v>60.101362389319299</v>
      </c>
      <c r="AY29" s="73">
        <v>333.05770304663002</v>
      </c>
      <c r="AZ29" s="73">
        <v>70.620489121499901</v>
      </c>
      <c r="BA29" s="75">
        <v>1.86989279746449E-5</v>
      </c>
      <c r="BB29" s="74">
        <v>97525</v>
      </c>
      <c r="BC29" s="73">
        <v>536.48009646465005</v>
      </c>
      <c r="BD29" s="146">
        <f t="shared" si="10"/>
        <v>2919148.2130616317</v>
      </c>
      <c r="BE29" s="145">
        <v>5798.78</v>
      </c>
      <c r="BF29" s="144">
        <f t="shared" si="11"/>
        <v>333.05770304663054</v>
      </c>
      <c r="BG29" s="68">
        <f t="shared" si="12"/>
        <v>0.46525614585499386</v>
      </c>
      <c r="BH29" s="140">
        <f t="shared" si="13"/>
        <v>4.9171578910095208E-2</v>
      </c>
      <c r="BI29" s="140">
        <f t="shared" si="14"/>
        <v>-2.7354210567585289E-3</v>
      </c>
      <c r="BJ29" s="141">
        <f t="shared" si="15"/>
        <v>-4.5796311430631124E-3</v>
      </c>
      <c r="BK29" s="140">
        <f t="shared" si="16"/>
        <v>4.1856526710273567E-2</v>
      </c>
      <c r="BL29" s="143">
        <f t="shared" si="17"/>
        <v>5796.3528321004296</v>
      </c>
      <c r="BM29" s="71">
        <f t="shared" si="18"/>
        <v>333.19716780817203</v>
      </c>
      <c r="BN29" s="142">
        <f t="shared" si="19"/>
        <v>2920370.5787529671</v>
      </c>
      <c r="BO29" s="68">
        <f t="shared" si="20"/>
        <v>0.46543796449495189</v>
      </c>
      <c r="BP29" s="140">
        <f t="shared" si="21"/>
        <v>4.9150051502724938E-2</v>
      </c>
      <c r="BQ29" s="140">
        <f t="shared" si="22"/>
        <v>-2.7341946978489298E-3</v>
      </c>
      <c r="BR29" s="141">
        <f t="shared" si="23"/>
        <v>-4.5815488202688125E-3</v>
      </c>
      <c r="BS29" s="140">
        <f t="shared" si="24"/>
        <v>4.1834307984607202E-2</v>
      </c>
      <c r="BT29" s="71">
        <f t="shared" si="25"/>
        <v>5796.3541205154497</v>
      </c>
      <c r="BU29" s="69">
        <f t="shared" si="26"/>
        <v>333.19709374502361</v>
      </c>
      <c r="BV29" s="68">
        <f t="shared" si="27"/>
        <v>6.5362615928155066</v>
      </c>
    </row>
    <row r="30" spans="2:74" x14ac:dyDescent="0.25">
      <c r="B30" s="99">
        <v>30</v>
      </c>
      <c r="C30" s="98">
        <v>45237.631793981498</v>
      </c>
      <c r="D30" s="73">
        <v>181.78118000000001</v>
      </c>
      <c r="E30" s="73">
        <v>0.98132080662983401</v>
      </c>
      <c r="F30" s="71">
        <v>19.877383152154</v>
      </c>
      <c r="G30" s="71">
        <v>60.402947786884901</v>
      </c>
      <c r="H30" s="73">
        <f t="shared" si="0"/>
        <v>6.53504071056705</v>
      </c>
      <c r="I30" s="73">
        <v>70.982231204752694</v>
      </c>
      <c r="J30" s="75">
        <v>1.87038550203467E-5</v>
      </c>
      <c r="K30" s="74">
        <v>118650</v>
      </c>
      <c r="L30" s="73">
        <v>652.70783257100697</v>
      </c>
      <c r="M30" s="71">
        <v>99.919968153366398</v>
      </c>
      <c r="N30" s="73">
        <v>6.5270783257100602</v>
      </c>
      <c r="O30" s="71">
        <f t="shared" si="1"/>
        <v>-0.12184139639887499</v>
      </c>
      <c r="Q30" s="97">
        <f t="shared" si="2"/>
        <v>19.877383152154</v>
      </c>
      <c r="R30" s="97">
        <f t="shared" si="3"/>
        <v>61.384268593514733</v>
      </c>
      <c r="S30" s="67">
        <v>70.983780570673005</v>
      </c>
      <c r="T30" s="67">
        <v>362.08206046915802</v>
      </c>
      <c r="U30" s="67">
        <v>1.516058838048</v>
      </c>
      <c r="V30" s="67">
        <v>92.97</v>
      </c>
      <c r="W30" s="67">
        <v>44.7</v>
      </c>
      <c r="X30" s="67">
        <f t="shared" si="4"/>
        <v>2.2350000000000002E-2</v>
      </c>
      <c r="Y30" s="67">
        <v>1</v>
      </c>
      <c r="Z30" s="67">
        <f t="shared" si="5"/>
        <v>0.99935035782130577</v>
      </c>
      <c r="AA30" s="67">
        <f t="shared" si="6"/>
        <v>1.0045120247924595</v>
      </c>
      <c r="AB30" s="67">
        <f t="shared" si="7"/>
        <v>6.552269267371428</v>
      </c>
      <c r="AC30" s="67">
        <f t="shared" si="8"/>
        <v>0.26363350386661977</v>
      </c>
      <c r="AD30" s="76">
        <f t="shared" si="9"/>
        <v>6.53504071056705</v>
      </c>
      <c r="AE30" s="200"/>
      <c r="AF30" s="200"/>
      <c r="AG30" s="200"/>
      <c r="AH30" s="200"/>
      <c r="AI30" s="200"/>
      <c r="AJ30" s="200"/>
      <c r="AK30" s="76"/>
      <c r="AL30" s="76"/>
      <c r="AM30" s="95">
        <f t="shared" si="28"/>
        <v>6.5565286649379892</v>
      </c>
      <c r="AN30" s="95">
        <f t="shared" si="29"/>
        <v>0.32881133144577879</v>
      </c>
      <c r="AO30" s="76">
        <f t="shared" si="30"/>
        <v>6.53504071056705</v>
      </c>
      <c r="AP30" s="200"/>
      <c r="AQ30" s="200"/>
      <c r="AR30" s="200"/>
      <c r="AS30" s="200"/>
      <c r="AT30" s="200"/>
      <c r="AU30" s="200"/>
      <c r="AW30" s="71">
        <v>19.924978972049999</v>
      </c>
      <c r="AX30" s="71">
        <v>60.0963608118034</v>
      </c>
      <c r="AY30" s="73">
        <v>333.016771860402</v>
      </c>
      <c r="AZ30" s="73">
        <v>70.615970397934603</v>
      </c>
      <c r="BA30" s="75">
        <v>1.86986286106762E-5</v>
      </c>
      <c r="BB30" s="74">
        <v>97510</v>
      </c>
      <c r="BC30" s="73">
        <v>536.41416564685096</v>
      </c>
      <c r="BD30" s="146">
        <f t="shared" si="10"/>
        <v>2918649.4287773347</v>
      </c>
      <c r="BE30" s="145">
        <v>5798.78</v>
      </c>
      <c r="BF30" s="144">
        <f t="shared" si="11"/>
        <v>333.01677186040229</v>
      </c>
      <c r="BG30" s="68">
        <f t="shared" si="12"/>
        <v>0.46518193318914031</v>
      </c>
      <c r="BH30" s="140">
        <f t="shared" si="13"/>
        <v>4.9180364677768325E-2</v>
      </c>
      <c r="BI30" s="140">
        <f t="shared" si="14"/>
        <v>-2.7359562488153853E-3</v>
      </c>
      <c r="BJ30" s="141">
        <f t="shared" si="15"/>
        <v>-4.5791494806700301E-3</v>
      </c>
      <c r="BK30" s="140">
        <f t="shared" si="16"/>
        <v>4.1865258948282913E-2</v>
      </c>
      <c r="BL30" s="143">
        <f t="shared" si="17"/>
        <v>5796.3523257371589</v>
      </c>
      <c r="BM30" s="71">
        <f t="shared" si="18"/>
        <v>333.15624858657537</v>
      </c>
      <c r="BN30" s="142">
        <f t="shared" si="19"/>
        <v>2919871.8406843948</v>
      </c>
      <c r="BO30" s="68">
        <f t="shared" si="20"/>
        <v>0.46536378976860776</v>
      </c>
      <c r="BP30" s="140">
        <f t="shared" si="21"/>
        <v>4.9158834261928089E-2</v>
      </c>
      <c r="BQ30" s="140">
        <f t="shared" si="22"/>
        <v>-2.7347293847781481E-3</v>
      </c>
      <c r="BR30" s="141">
        <f t="shared" si="23"/>
        <v>-4.5810673563813735E-3</v>
      </c>
      <c r="BS30" s="140">
        <f t="shared" si="24"/>
        <v>4.1843037520768567E-2</v>
      </c>
      <c r="BT30" s="71">
        <f t="shared" si="25"/>
        <v>5796.3536143088531</v>
      </c>
      <c r="BU30" s="69">
        <f t="shared" si="26"/>
        <v>333.15617452351091</v>
      </c>
      <c r="BV30" s="68">
        <f t="shared" si="27"/>
        <v>6.53504071056705</v>
      </c>
    </row>
    <row r="31" spans="2:74" x14ac:dyDescent="0.25">
      <c r="B31" s="99">
        <v>31</v>
      </c>
      <c r="C31" s="98">
        <v>45237.634490740696</v>
      </c>
      <c r="D31" s="73">
        <v>181.77121</v>
      </c>
      <c r="E31" s="73">
        <v>0.98129591712707198</v>
      </c>
      <c r="F31" s="71">
        <v>19.876368243487001</v>
      </c>
      <c r="G31" s="71">
        <v>60.398809716671202</v>
      </c>
      <c r="H31" s="73">
        <f t="shared" si="0"/>
        <v>6.5348463489366777</v>
      </c>
      <c r="I31" s="73">
        <v>70.977716905205099</v>
      </c>
      <c r="J31" s="75">
        <v>1.8703716081771601E-5</v>
      </c>
      <c r="K31" s="74">
        <v>118421</v>
      </c>
      <c r="L31" s="73">
        <v>651.48380758427004</v>
      </c>
      <c r="M31" s="71">
        <v>99.735554622246099</v>
      </c>
      <c r="N31" s="73">
        <v>6.5148380758427002</v>
      </c>
      <c r="O31" s="71">
        <f t="shared" si="1"/>
        <v>-0.30617817199685377</v>
      </c>
      <c r="Q31" s="97">
        <f t="shared" si="2"/>
        <v>19.876368243487001</v>
      </c>
      <c r="R31" s="97">
        <f t="shared" si="3"/>
        <v>61.380105633798273</v>
      </c>
      <c r="S31" s="67">
        <v>70.979266335673998</v>
      </c>
      <c r="T31" s="67">
        <v>362.08018803469901</v>
      </c>
      <c r="U31" s="67">
        <v>1.516049560363</v>
      </c>
      <c r="V31" s="67">
        <v>92.97</v>
      </c>
      <c r="W31" s="67">
        <v>44.7</v>
      </c>
      <c r="X31" s="67">
        <f t="shared" si="4"/>
        <v>2.2350000000000002E-2</v>
      </c>
      <c r="Y31" s="67">
        <v>1</v>
      </c>
      <c r="Z31" s="67">
        <f t="shared" si="5"/>
        <v>0.99935035110663117</v>
      </c>
      <c r="AA31" s="67">
        <f t="shared" si="6"/>
        <v>1.0045117032793236</v>
      </c>
      <c r="AB31" s="67">
        <f t="shared" si="7"/>
        <v>6.5399796396667744</v>
      </c>
      <c r="AC31" s="67">
        <f t="shared" si="8"/>
        <v>7.8552584957594068E-2</v>
      </c>
      <c r="AD31" s="76">
        <f t="shared" si="9"/>
        <v>6.5348463489366777</v>
      </c>
      <c r="AE31" s="200"/>
      <c r="AF31" s="200"/>
      <c r="AG31" s="200"/>
      <c r="AH31" s="200"/>
      <c r="AI31" s="200"/>
      <c r="AJ31" s="200"/>
      <c r="AK31" s="76"/>
      <c r="AL31" s="76"/>
      <c r="AM31" s="95">
        <f t="shared" si="28"/>
        <v>6.5442310921537423</v>
      </c>
      <c r="AN31" s="95">
        <f t="shared" si="29"/>
        <v>0.14361077087285554</v>
      </c>
      <c r="AO31" s="76">
        <f t="shared" si="30"/>
        <v>6.5348463489366777</v>
      </c>
      <c r="AP31" s="200"/>
      <c r="AQ31" s="200"/>
      <c r="AR31" s="200"/>
      <c r="AS31" s="200"/>
      <c r="AT31" s="200"/>
      <c r="AU31" s="200"/>
      <c r="AW31" s="71">
        <v>19.919452481823001</v>
      </c>
      <c r="AX31" s="71">
        <v>60.0923945889717</v>
      </c>
      <c r="AY31" s="73">
        <v>333.02137597922501</v>
      </c>
      <c r="AZ31" s="73">
        <v>70.612893629027695</v>
      </c>
      <c r="BA31" s="75">
        <v>1.8698309405484899E-5</v>
      </c>
      <c r="BB31" s="74">
        <v>97506</v>
      </c>
      <c r="BC31" s="73">
        <v>536.421581833559</v>
      </c>
      <c r="BD31" s="146">
        <f t="shared" si="10"/>
        <v>2918612.4357006107</v>
      </c>
      <c r="BE31" s="145">
        <v>5798.78</v>
      </c>
      <c r="BF31" s="144">
        <f t="shared" si="11"/>
        <v>333.02137597922541</v>
      </c>
      <c r="BG31" s="68">
        <f t="shared" si="12"/>
        <v>0.46517642859144942</v>
      </c>
      <c r="BH31" s="140">
        <f t="shared" si="13"/>
        <v>4.9181016322927401E-2</v>
      </c>
      <c r="BI31" s="140">
        <f t="shared" si="14"/>
        <v>-2.7360349428584342E-3</v>
      </c>
      <c r="BJ31" s="141">
        <f t="shared" si="15"/>
        <v>-4.5793125058401548E-3</v>
      </c>
      <c r="BK31" s="140">
        <f t="shared" si="16"/>
        <v>4.1865668874228809E-2</v>
      </c>
      <c r="BL31" s="143">
        <f t="shared" si="17"/>
        <v>5796.3523019664544</v>
      </c>
      <c r="BM31" s="71">
        <f t="shared" si="18"/>
        <v>333.16085600001691</v>
      </c>
      <c r="BN31" s="142">
        <f t="shared" si="19"/>
        <v>2919834.8440881111</v>
      </c>
      <c r="BO31" s="68">
        <f t="shared" si="20"/>
        <v>0.46535828695194842</v>
      </c>
      <c r="BP31" s="140">
        <f t="shared" si="21"/>
        <v>4.9159485806318577E-2</v>
      </c>
      <c r="BQ31" s="140">
        <f t="shared" si="22"/>
        <v>-2.7348080325660992E-3</v>
      </c>
      <c r="BR31" s="141">
        <f t="shared" si="23"/>
        <v>-4.5812304686185116E-3</v>
      </c>
      <c r="BS31" s="140">
        <f t="shared" si="24"/>
        <v>4.1843447305133966E-2</v>
      </c>
      <c r="BT31" s="71">
        <f t="shared" si="25"/>
        <v>5796.3535905463586</v>
      </c>
      <c r="BU31" s="69">
        <f t="shared" si="26"/>
        <v>333.16078193545593</v>
      </c>
      <c r="BV31" s="68">
        <f t="shared" si="27"/>
        <v>6.5348463489366777</v>
      </c>
    </row>
    <row r="32" spans="2:74" x14ac:dyDescent="0.25">
      <c r="B32" s="99">
        <v>33</v>
      </c>
      <c r="C32" s="98">
        <v>45237.642395833303</v>
      </c>
      <c r="D32" s="73">
        <v>181.80829</v>
      </c>
      <c r="E32" s="73">
        <v>0.98137828176795505</v>
      </c>
      <c r="F32" s="71">
        <v>19.859046564886999</v>
      </c>
      <c r="G32" s="71">
        <v>60.353177049737603</v>
      </c>
      <c r="H32" s="73">
        <f t="shared" si="0"/>
        <v>4.8032766871362229</v>
      </c>
      <c r="I32" s="73">
        <v>70.930038018177697</v>
      </c>
      <c r="J32" s="75">
        <v>1.87019419796855E-5</v>
      </c>
      <c r="K32" s="74">
        <v>87037</v>
      </c>
      <c r="L32" s="73">
        <v>478.729545280911</v>
      </c>
      <c r="M32" s="71">
        <v>99.723618425462504</v>
      </c>
      <c r="N32" s="73">
        <v>4.7872954528091096</v>
      </c>
      <c r="O32" s="71">
        <f t="shared" si="1"/>
        <v>-0.33271525602331092</v>
      </c>
      <c r="Q32" s="97">
        <f t="shared" si="2"/>
        <v>19.859046564886999</v>
      </c>
      <c r="R32" s="97">
        <f t="shared" si="3"/>
        <v>61.334555331505555</v>
      </c>
      <c r="S32" s="67">
        <v>70.931588189913995</v>
      </c>
      <c r="T32" s="67">
        <v>362.055639238749</v>
      </c>
      <c r="U32" s="67">
        <v>1.5159507614750001</v>
      </c>
      <c r="V32" s="67">
        <v>92.97</v>
      </c>
      <c r="W32" s="67">
        <v>44.7</v>
      </c>
      <c r="X32" s="67">
        <f t="shared" si="4"/>
        <v>2.2350000000000002E-2</v>
      </c>
      <c r="Y32" s="67">
        <v>1</v>
      </c>
      <c r="Z32" s="67">
        <f t="shared" si="5"/>
        <v>0.99935026306338803</v>
      </c>
      <c r="AA32" s="67">
        <f t="shared" si="6"/>
        <v>1.0045081577992783</v>
      </c>
      <c r="AB32" s="67">
        <f t="shared" si="7"/>
        <v>4.8057528309132129</v>
      </c>
      <c r="AC32" s="67">
        <f t="shared" si="8"/>
        <v>5.1551137656122077E-2</v>
      </c>
      <c r="AD32" s="76">
        <f t="shared" si="9"/>
        <v>4.8032766871362229</v>
      </c>
      <c r="AE32" s="200">
        <f>AVERAGE(AD32:AD34)</f>
        <v>4.8026850944793447</v>
      </c>
      <c r="AF32" s="200">
        <f>AVERAGE(AC32:AC34)</f>
        <v>8.6210292307969894E-2</v>
      </c>
      <c r="AG32" s="200">
        <f>STDEV(AC32:AC34)</f>
        <v>4.1913847854556437E-2</v>
      </c>
      <c r="AH32" s="200">
        <f>AG32*4.303/SQRT(2)</f>
        <v>0.12753044668551647</v>
      </c>
      <c r="AI32" s="200">
        <v>0.25</v>
      </c>
      <c r="AJ32" s="200">
        <f>SQRT(AI32^2+AH32^2)</f>
        <v>0.28064927370618181</v>
      </c>
      <c r="AK32" s="76"/>
      <c r="AL32" s="76"/>
      <c r="AM32" s="95">
        <f t="shared" si="28"/>
        <v>4.8088773361421406</v>
      </c>
      <c r="AN32" s="95">
        <f t="shared" si="29"/>
        <v>0.11660059102814052</v>
      </c>
      <c r="AO32" s="76">
        <f t="shared" si="30"/>
        <v>4.8032766871362229</v>
      </c>
      <c r="AP32" s="200">
        <f>AVERAGE(AO32:AO34)</f>
        <v>4.8026850944793447</v>
      </c>
      <c r="AQ32" s="200">
        <f>AVERAGE(AN32:AN34)</f>
        <v>0.15128415655410724</v>
      </c>
      <c r="AR32" s="200">
        <f>STDEV(AN32:AN34)</f>
        <v>4.1942090693530672E-2</v>
      </c>
      <c r="AS32" s="200">
        <f>AR32*4.303/SQRT(2)</f>
        <v>0.12761638062034752</v>
      </c>
      <c r="AT32" s="200">
        <v>0.25</v>
      </c>
      <c r="AU32" s="200">
        <f>SQRT(AT32^2+AS32^2)</f>
        <v>0.28068833357059464</v>
      </c>
      <c r="AW32" s="71">
        <v>19.887870189587002</v>
      </c>
      <c r="AX32" s="71">
        <v>60.192278736132302</v>
      </c>
      <c r="AY32" s="73">
        <v>244.31474845715701</v>
      </c>
      <c r="AZ32" s="73">
        <v>70.736736444554197</v>
      </c>
      <c r="BA32" s="75">
        <v>1.8699354992620001E-5</v>
      </c>
      <c r="BB32" s="74">
        <v>71548</v>
      </c>
      <c r="BC32" s="73">
        <v>393.53541029399702</v>
      </c>
      <c r="BD32" s="146">
        <f t="shared" si="10"/>
        <v>2144819.3947340399</v>
      </c>
      <c r="BE32" s="145">
        <v>5798.78</v>
      </c>
      <c r="BF32" s="144">
        <f t="shared" si="11"/>
        <v>244.31474845715638</v>
      </c>
      <c r="BG32" s="68">
        <f t="shared" si="12"/>
        <v>0.33139072814187293</v>
      </c>
      <c r="BH32" s="140">
        <f t="shared" si="13"/>
        <v>6.3691981194323372E-2</v>
      </c>
      <c r="BI32" s="140">
        <f t="shared" si="14"/>
        <v>-3.8190729779779748E-3</v>
      </c>
      <c r="BJ32" s="141">
        <f t="shared" si="15"/>
        <v>-3.3599172876106189E-3</v>
      </c>
      <c r="BK32" s="140">
        <f t="shared" si="16"/>
        <v>5.6512990928734776E-2</v>
      </c>
      <c r="BL32" s="143">
        <f t="shared" si="17"/>
        <v>5795.5029359846221</v>
      </c>
      <c r="BM32" s="71">
        <f t="shared" si="18"/>
        <v>244.4528961001545</v>
      </c>
      <c r="BN32" s="142">
        <f t="shared" si="19"/>
        <v>2146032.1817062157</v>
      </c>
      <c r="BO32" s="68">
        <f t="shared" si="20"/>
        <v>0.33163623031988254</v>
      </c>
      <c r="BP32" s="140">
        <f t="shared" si="21"/>
        <v>6.3668336870703029E-2</v>
      </c>
      <c r="BQ32" s="140">
        <f t="shared" si="22"/>
        <v>-3.8167108105636991E-3</v>
      </c>
      <c r="BR32" s="141">
        <f t="shared" si="23"/>
        <v>-3.3618171510322228E-3</v>
      </c>
      <c r="BS32" s="140">
        <f t="shared" si="24"/>
        <v>5.6489808909107105E-2</v>
      </c>
      <c r="BT32" s="71">
        <f t="shared" si="25"/>
        <v>5795.5042802589405</v>
      </c>
      <c r="BU32" s="69">
        <f t="shared" si="26"/>
        <v>244.45283939900574</v>
      </c>
      <c r="BV32" s="68">
        <f t="shared" si="27"/>
        <v>4.8032766871362229</v>
      </c>
    </row>
    <row r="33" spans="2:74" x14ac:dyDescent="0.25">
      <c r="B33" s="99">
        <v>34</v>
      </c>
      <c r="C33" s="98">
        <v>45237.645787037</v>
      </c>
      <c r="D33" s="73">
        <v>181.79983999999999</v>
      </c>
      <c r="E33" s="73">
        <v>0.98143093370165502</v>
      </c>
      <c r="F33" s="71">
        <v>19.852384723213</v>
      </c>
      <c r="G33" s="71">
        <v>60.3435176025815</v>
      </c>
      <c r="H33" s="73">
        <f t="shared" si="0"/>
        <v>4.8022458169209035</v>
      </c>
      <c r="I33" s="73">
        <v>70.920813018114998</v>
      </c>
      <c r="J33" s="75">
        <v>1.8701444916316801E-5</v>
      </c>
      <c r="K33" s="74">
        <v>87085</v>
      </c>
      <c r="L33" s="73">
        <v>479.01582311623599</v>
      </c>
      <c r="M33" s="71">
        <v>99.804679603179906</v>
      </c>
      <c r="N33" s="73">
        <v>4.7901582311623603</v>
      </c>
      <c r="O33" s="71">
        <f t="shared" si="1"/>
        <v>-0.25170693503343994</v>
      </c>
      <c r="Q33" s="97">
        <f t="shared" si="2"/>
        <v>19.852384723213</v>
      </c>
      <c r="R33" s="97">
        <f t="shared" si="3"/>
        <v>61.324948536283152</v>
      </c>
      <c r="S33" s="67">
        <v>70.922363363965999</v>
      </c>
      <c r="T33" s="67">
        <v>362.04849569190498</v>
      </c>
      <c r="U33" s="67">
        <v>1.5159312351680001</v>
      </c>
      <c r="V33" s="67">
        <v>92.97</v>
      </c>
      <c r="W33" s="67">
        <v>44.7</v>
      </c>
      <c r="X33" s="67">
        <f t="shared" si="4"/>
        <v>2.2350000000000002E-2</v>
      </c>
      <c r="Y33" s="67">
        <v>1</v>
      </c>
      <c r="Z33" s="67">
        <f t="shared" si="5"/>
        <v>0.99935023743999096</v>
      </c>
      <c r="AA33" s="67">
        <f t="shared" si="6"/>
        <v>1.0045074073011595</v>
      </c>
      <c r="AB33" s="67">
        <f t="shared" si="7"/>
        <v>4.8086229307224748</v>
      </c>
      <c r="AC33" s="67">
        <f t="shared" si="8"/>
        <v>0.13279440588195926</v>
      </c>
      <c r="AD33" s="76">
        <f t="shared" si="9"/>
        <v>4.8022458169209035</v>
      </c>
      <c r="AE33" s="208"/>
      <c r="AF33" s="208"/>
      <c r="AG33" s="200"/>
      <c r="AH33" s="200"/>
      <c r="AI33" s="200"/>
      <c r="AJ33" s="200"/>
      <c r="AK33" s="76"/>
      <c r="AL33" s="76"/>
      <c r="AM33" s="95">
        <f t="shared" si="28"/>
        <v>4.8117494253472106</v>
      </c>
      <c r="AN33" s="95">
        <f t="shared" si="29"/>
        <v>0.19789924940578452</v>
      </c>
      <c r="AO33" s="76">
        <f t="shared" si="30"/>
        <v>4.8022458169209035</v>
      </c>
      <c r="AP33" s="208"/>
      <c r="AQ33" s="208"/>
      <c r="AR33" s="200"/>
      <c r="AS33" s="200"/>
      <c r="AT33" s="200"/>
      <c r="AU33" s="200"/>
      <c r="AW33" s="71">
        <v>19.879595750276</v>
      </c>
      <c r="AX33" s="71">
        <v>60.182791009476901</v>
      </c>
      <c r="AY33" s="73">
        <v>244.291955572462</v>
      </c>
      <c r="AZ33" s="73">
        <v>70.728148499249798</v>
      </c>
      <c r="BA33" s="75">
        <v>1.8698796158541E-5</v>
      </c>
      <c r="BB33" s="74">
        <v>71538</v>
      </c>
      <c r="BC33" s="73">
        <v>393.49869614846801</v>
      </c>
      <c r="BD33" s="146">
        <f t="shared" si="10"/>
        <v>2144423.0122599779</v>
      </c>
      <c r="BE33" s="145">
        <v>5798.78</v>
      </c>
      <c r="BF33" s="144">
        <f t="shared" si="11"/>
        <v>244.29195557246263</v>
      </c>
      <c r="BG33" s="68">
        <f t="shared" si="12"/>
        <v>0.33131045908483958</v>
      </c>
      <c r="BH33" s="140">
        <f t="shared" si="13"/>
        <v>6.3699709144406411E-2</v>
      </c>
      <c r="BI33" s="140">
        <f t="shared" si="14"/>
        <v>-3.8199267556970873E-3</v>
      </c>
      <c r="BJ33" s="141">
        <f t="shared" si="15"/>
        <v>-3.35971413361479E-3</v>
      </c>
      <c r="BK33" s="140">
        <f t="shared" si="16"/>
        <v>5.6520068255094529E-2</v>
      </c>
      <c r="BL33" s="143">
        <f t="shared" si="17"/>
        <v>5795.5025255860373</v>
      </c>
      <c r="BM33" s="71">
        <f t="shared" si="18"/>
        <v>244.43010763613455</v>
      </c>
      <c r="BN33" s="142">
        <f t="shared" si="19"/>
        <v>2145635.7270374047</v>
      </c>
      <c r="BO33" s="68">
        <f t="shared" si="20"/>
        <v>0.33155599201666786</v>
      </c>
      <c r="BP33" s="140">
        <f t="shared" si="21"/>
        <v>6.3676066026775099E-2</v>
      </c>
      <c r="BQ33" s="140">
        <f t="shared" si="22"/>
        <v>-3.8175637470995918E-3</v>
      </c>
      <c r="BR33" s="141">
        <f t="shared" si="23"/>
        <v>-3.3616141202100058E-3</v>
      </c>
      <c r="BS33" s="140">
        <f t="shared" si="24"/>
        <v>5.6496888159465498E-2</v>
      </c>
      <c r="BT33" s="71">
        <f t="shared" si="25"/>
        <v>5795.5038697487862</v>
      </c>
      <c r="BU33" s="69">
        <f t="shared" si="26"/>
        <v>244.43005094497312</v>
      </c>
      <c r="BV33" s="68">
        <f t="shared" si="27"/>
        <v>4.8022458169209035</v>
      </c>
    </row>
    <row r="34" spans="2:74" x14ac:dyDescent="0.25">
      <c r="B34" s="99">
        <v>35</v>
      </c>
      <c r="C34" s="98">
        <v>45237.6488425926</v>
      </c>
      <c r="D34" s="73">
        <v>181.80327</v>
      </c>
      <c r="E34" s="73">
        <v>0.98146260555555398</v>
      </c>
      <c r="F34" s="71">
        <v>19.853015860974001</v>
      </c>
      <c r="G34" s="71">
        <v>60.337329472489998</v>
      </c>
      <c r="H34" s="73">
        <f t="shared" si="0"/>
        <v>4.8025327793809058</v>
      </c>
      <c r="I34" s="73">
        <v>70.913546284733201</v>
      </c>
      <c r="J34" s="75">
        <v>1.8701326567035901E-5</v>
      </c>
      <c r="K34" s="74">
        <v>87041</v>
      </c>
      <c r="L34" s="73">
        <v>478.76476589227502</v>
      </c>
      <c r="M34" s="71">
        <v>99.746407129735104</v>
      </c>
      <c r="N34" s="73">
        <v>4.7876476589227499</v>
      </c>
      <c r="O34" s="71">
        <f t="shared" si="1"/>
        <v>-0.30994313088425751</v>
      </c>
      <c r="Q34" s="97">
        <f t="shared" si="2"/>
        <v>19.853015860974001</v>
      </c>
      <c r="R34" s="97">
        <f t="shared" si="3"/>
        <v>61.318792078045554</v>
      </c>
      <c r="S34" s="67">
        <v>70.915096712560995</v>
      </c>
      <c r="T34" s="67">
        <v>362.04712121228198</v>
      </c>
      <c r="U34" s="67">
        <v>1.5159165890749999</v>
      </c>
      <c r="V34" s="67">
        <v>92.97</v>
      </c>
      <c r="W34" s="67">
        <v>44.7</v>
      </c>
      <c r="X34" s="67">
        <f t="shared" si="4"/>
        <v>2.2350000000000002E-2</v>
      </c>
      <c r="Y34" s="67">
        <v>1</v>
      </c>
      <c r="Z34" s="67">
        <f t="shared" si="5"/>
        <v>0.99935023250965593</v>
      </c>
      <c r="AA34" s="67">
        <f t="shared" si="6"/>
        <v>1.0045069265102591</v>
      </c>
      <c r="AB34" s="67">
        <f t="shared" si="7"/>
        <v>4.8061003568670326</v>
      </c>
      <c r="AC34" s="67">
        <f t="shared" si="8"/>
        <v>7.428533338582835E-2</v>
      </c>
      <c r="AD34" s="76">
        <f t="shared" si="9"/>
        <v>4.8025327793809058</v>
      </c>
      <c r="AE34" s="208"/>
      <c r="AF34" s="208"/>
      <c r="AG34" s="200"/>
      <c r="AH34" s="200"/>
      <c r="AI34" s="200"/>
      <c r="AJ34" s="200"/>
      <c r="AK34" s="76"/>
      <c r="AL34" s="76"/>
      <c r="AM34" s="95">
        <f t="shared" si="28"/>
        <v>4.8092252350785287</v>
      </c>
      <c r="AN34" s="95">
        <f t="shared" si="29"/>
        <v>0.13935262922839672</v>
      </c>
      <c r="AO34" s="76">
        <f t="shared" si="30"/>
        <v>4.8025327793809058</v>
      </c>
      <c r="AP34" s="208"/>
      <c r="AQ34" s="208"/>
      <c r="AR34" s="200"/>
      <c r="AS34" s="200"/>
      <c r="AT34" s="200"/>
      <c r="AU34" s="200"/>
      <c r="AW34" s="71">
        <v>19.8757911398041</v>
      </c>
      <c r="AX34" s="71">
        <v>60.177238420839103</v>
      </c>
      <c r="AY34" s="73">
        <v>244.324909332034</v>
      </c>
      <c r="AZ34" s="73">
        <v>70.722837147274703</v>
      </c>
      <c r="BA34" s="75">
        <v>1.8698511547495701E-5</v>
      </c>
      <c r="BB34" s="74">
        <v>71549</v>
      </c>
      <c r="BC34" s="73">
        <v>393.55177714900299</v>
      </c>
      <c r="BD34" s="146">
        <f t="shared" si="10"/>
        <v>2144583.8686722075</v>
      </c>
      <c r="BE34" s="145">
        <v>5798.78</v>
      </c>
      <c r="BF34" s="144">
        <f t="shared" si="11"/>
        <v>244.32490933203377</v>
      </c>
      <c r="BG34" s="68">
        <f t="shared" si="12"/>
        <v>0.33134303494875506</v>
      </c>
      <c r="BH34" s="140">
        <f t="shared" si="13"/>
        <v>6.3696573048553973E-2</v>
      </c>
      <c r="BI34" s="140">
        <f t="shared" si="14"/>
        <v>-3.8196496754192124E-3</v>
      </c>
      <c r="BJ34" s="141">
        <f t="shared" si="15"/>
        <v>-3.3602183155718446E-3</v>
      </c>
      <c r="BK34" s="140">
        <f t="shared" si="16"/>
        <v>5.6516705057562913E-2</v>
      </c>
      <c r="BL34" s="143">
        <f t="shared" si="17"/>
        <v>5795.5027206104623</v>
      </c>
      <c r="BM34" s="71">
        <f t="shared" si="18"/>
        <v>244.46307180530067</v>
      </c>
      <c r="BN34" s="142">
        <f t="shared" si="19"/>
        <v>2145796.6022090134</v>
      </c>
      <c r="BO34" s="68">
        <f t="shared" si="20"/>
        <v>0.33158855326614234</v>
      </c>
      <c r="BP34" s="140">
        <f t="shared" si="21"/>
        <v>6.3672929646771403E-2</v>
      </c>
      <c r="BQ34" s="140">
        <f t="shared" si="22"/>
        <v>-3.8172870037250671E-3</v>
      </c>
      <c r="BR34" s="141">
        <f t="shared" si="23"/>
        <v>-3.3621184741535683E-3</v>
      </c>
      <c r="BS34" s="140">
        <f t="shared" si="24"/>
        <v>5.6493524168892771E-2</v>
      </c>
      <c r="BT34" s="71">
        <f t="shared" si="25"/>
        <v>5795.5040648191989</v>
      </c>
      <c r="BU34" s="69">
        <f t="shared" si="26"/>
        <v>244.46301510455586</v>
      </c>
      <c r="BV34" s="68">
        <f t="shared" si="27"/>
        <v>4.8025327793809058</v>
      </c>
    </row>
    <row r="35" spans="2:74" x14ac:dyDescent="0.25">
      <c r="B35" s="99">
        <v>37</v>
      </c>
      <c r="C35" s="98">
        <v>45237.6569675926</v>
      </c>
      <c r="D35" s="73">
        <v>181.75939</v>
      </c>
      <c r="E35" s="73">
        <v>0.98153101104972296</v>
      </c>
      <c r="F35" s="71">
        <v>19.820609899606001</v>
      </c>
      <c r="G35" s="71">
        <v>60.299570869140801</v>
      </c>
      <c r="H35" s="73">
        <f t="shared" si="0"/>
        <v>3.2867053641783297</v>
      </c>
      <c r="I35" s="73">
        <v>70.879080033607707</v>
      </c>
      <c r="J35" s="75">
        <v>1.86991202508661E-5</v>
      </c>
      <c r="K35" s="74">
        <v>59578</v>
      </c>
      <c r="L35" s="73">
        <v>327.78499091573798</v>
      </c>
      <c r="M35" s="71">
        <v>99.798650275100897</v>
      </c>
      <c r="N35" s="73">
        <v>3.2778499091573798</v>
      </c>
      <c r="O35" s="71">
        <f t="shared" si="1"/>
        <v>-0.26943257882087984</v>
      </c>
      <c r="Q35" s="97">
        <f t="shared" si="2"/>
        <v>19.820609899606001</v>
      </c>
      <c r="R35" s="97">
        <f t="shared" si="3"/>
        <v>61.281101880190526</v>
      </c>
      <c r="S35" s="67">
        <v>70.880631183125999</v>
      </c>
      <c r="T35" s="67">
        <v>362.01499862695698</v>
      </c>
      <c r="U35" s="67">
        <v>1.5158427079300001</v>
      </c>
      <c r="V35" s="67">
        <v>92.97</v>
      </c>
      <c r="W35" s="67">
        <v>44.7</v>
      </c>
      <c r="X35" s="67">
        <f t="shared" si="4"/>
        <v>2.2350000000000002E-2</v>
      </c>
      <c r="Y35" s="67">
        <v>1</v>
      </c>
      <c r="Z35" s="67">
        <f t="shared" si="5"/>
        <v>0.99935011726817324</v>
      </c>
      <c r="AA35" s="67">
        <f t="shared" si="6"/>
        <v>1.0045039928403239</v>
      </c>
      <c r="AB35" s="67">
        <f t="shared" si="7"/>
        <v>3.2904735091395381</v>
      </c>
      <c r="AC35" s="67">
        <f t="shared" si="8"/>
        <v>0.1146480911333649</v>
      </c>
      <c r="AD35" s="76">
        <f t="shared" si="9"/>
        <v>3.2867053641783297</v>
      </c>
      <c r="AE35" s="200">
        <f>AVERAGE(AD35:AD37)</f>
        <v>3.2866957410813833</v>
      </c>
      <c r="AF35" s="200">
        <f>AVERAGE(AC35:AC37)</f>
        <v>0.11076921262920254</v>
      </c>
      <c r="AG35" s="200">
        <f>STDEV(AC35:AC37)</f>
        <v>3.3855691638838793E-3</v>
      </c>
      <c r="AH35" s="200">
        <f>AG35*4.303/SQRT(2)</f>
        <v>1.0301205206762826E-2</v>
      </c>
      <c r="AI35" s="200">
        <v>0.25</v>
      </c>
      <c r="AJ35" s="200">
        <f>SQRT(AI35^2+AH35^2)</f>
        <v>0.25021213965096067</v>
      </c>
      <c r="AK35" s="76"/>
      <c r="AL35" s="76"/>
      <c r="AM35" s="95">
        <f t="shared" si="28"/>
        <v>3.2926133216798807</v>
      </c>
      <c r="AN35" s="95">
        <f t="shared" si="29"/>
        <v>0.17975318280554242</v>
      </c>
      <c r="AO35" s="76">
        <f t="shared" si="30"/>
        <v>3.2867053641783297</v>
      </c>
      <c r="AP35" s="200">
        <f>AVERAGE(AO35:AO37)</f>
        <v>3.2866957410813833</v>
      </c>
      <c r="AQ35" s="200">
        <f>AVERAGE(AN35:AN37)</f>
        <v>0.17587404605251086</v>
      </c>
      <c r="AR35" s="200">
        <f>STDEV(AN35:AN37)</f>
        <v>3.3855087919485642E-3</v>
      </c>
      <c r="AS35" s="200">
        <f>AR35*4.303/SQRT(2)</f>
        <v>1.0301021514253737E-2</v>
      </c>
      <c r="AT35" s="200">
        <v>0.25</v>
      </c>
      <c r="AU35" s="200">
        <f>SQRT(AT35^2+AS35^2)</f>
        <v>0.25021213208842835</v>
      </c>
      <c r="AW35" s="71">
        <v>19.860136074539</v>
      </c>
      <c r="AX35" s="71">
        <v>60.231632242790901</v>
      </c>
      <c r="AY35" s="73">
        <v>167.03044310276201</v>
      </c>
      <c r="AZ35" s="73">
        <v>70.789894228288205</v>
      </c>
      <c r="BA35" s="75">
        <v>1.8699145512508799E-5</v>
      </c>
      <c r="BB35" s="74">
        <v>48902</v>
      </c>
      <c r="BC35" s="73">
        <v>269.04799801539798</v>
      </c>
      <c r="BD35" s="146">
        <f t="shared" si="10"/>
        <v>1467465.1164610139</v>
      </c>
      <c r="BE35" s="145">
        <v>5798.78</v>
      </c>
      <c r="BF35" s="144">
        <f t="shared" si="11"/>
        <v>167.03044310276175</v>
      </c>
      <c r="BG35" s="68">
        <f t="shared" si="12"/>
        <v>0.16656778630223895</v>
      </c>
      <c r="BH35" s="140">
        <f t="shared" si="13"/>
        <v>7.6357270831247742E-2</v>
      </c>
      <c r="BI35" s="140">
        <f t="shared" si="14"/>
        <v>-5.8260812131319022E-3</v>
      </c>
      <c r="BJ35" s="141">
        <f t="shared" si="15"/>
        <v>-2.2973142176808186E-3</v>
      </c>
      <c r="BK35" s="140">
        <f t="shared" si="16"/>
        <v>6.8233875400435032E-2</v>
      </c>
      <c r="BL35" s="143">
        <f t="shared" si="17"/>
        <v>5794.8232676800544</v>
      </c>
      <c r="BM35" s="71">
        <f t="shared" si="18"/>
        <v>167.14449226735414</v>
      </c>
      <c r="BN35" s="142">
        <f t="shared" si="19"/>
        <v>1468467.1084781091</v>
      </c>
      <c r="BO35" s="68">
        <f t="shared" si="20"/>
        <v>0.16686422340465865</v>
      </c>
      <c r="BP35" s="140">
        <f t="shared" si="21"/>
        <v>7.6340677577586405E-2</v>
      </c>
      <c r="BQ35" s="140">
        <f t="shared" si="22"/>
        <v>-5.8215796054809773E-3</v>
      </c>
      <c r="BR35" s="141">
        <f t="shared" si="23"/>
        <v>-2.2988828345297334E-3</v>
      </c>
      <c r="BS35" s="140">
        <f t="shared" si="24"/>
        <v>6.8220215137575688E-2</v>
      </c>
      <c r="BT35" s="71">
        <f t="shared" si="25"/>
        <v>5794.824059808645</v>
      </c>
      <c r="BU35" s="69">
        <f t="shared" si="26"/>
        <v>167.14446941939022</v>
      </c>
      <c r="BV35" s="68">
        <f t="shared" si="27"/>
        <v>3.2867053641783297</v>
      </c>
    </row>
    <row r="36" spans="2:74" x14ac:dyDescent="0.25">
      <c r="B36" s="99">
        <v>38</v>
      </c>
      <c r="C36" s="98">
        <v>45237.660046296303</v>
      </c>
      <c r="D36" s="73">
        <v>181.76603</v>
      </c>
      <c r="E36" s="73">
        <v>0.981554422222222</v>
      </c>
      <c r="F36" s="71">
        <v>19.800396764982001</v>
      </c>
      <c r="G36" s="71">
        <v>60.288144188310099</v>
      </c>
      <c r="H36" s="73">
        <f t="shared" si="0"/>
        <v>3.2867318919442008</v>
      </c>
      <c r="I36" s="73">
        <v>70.871526123319796</v>
      </c>
      <c r="J36" s="75">
        <v>1.8698027396692299E-5</v>
      </c>
      <c r="K36" s="74">
        <v>59577</v>
      </c>
      <c r="L36" s="73">
        <v>327.76751519522099</v>
      </c>
      <c r="M36" s="71">
        <v>99.792522317786094</v>
      </c>
      <c r="N36" s="73">
        <v>3.2776751519522098</v>
      </c>
      <c r="O36" s="71">
        <f t="shared" si="1"/>
        <v>-0.27555457182829829</v>
      </c>
      <c r="Q36" s="97">
        <f t="shared" si="2"/>
        <v>19.800396764982001</v>
      </c>
      <c r="R36" s="97">
        <f t="shared" si="3"/>
        <v>61.269698610532323</v>
      </c>
      <c r="S36" s="67">
        <v>70.873077556446006</v>
      </c>
      <c r="T36" s="67">
        <v>361.998475437845</v>
      </c>
      <c r="U36" s="67">
        <v>1.5158248787890001</v>
      </c>
      <c r="V36" s="67">
        <v>92.97</v>
      </c>
      <c r="W36" s="67">
        <v>44.7</v>
      </c>
      <c r="X36" s="67">
        <f t="shared" si="4"/>
        <v>2.2350000000000002E-2</v>
      </c>
      <c r="Y36" s="67">
        <v>1</v>
      </c>
      <c r="Z36" s="67">
        <f t="shared" si="5"/>
        <v>0.99935005797841514</v>
      </c>
      <c r="AA36" s="67">
        <f t="shared" si="6"/>
        <v>1.0045031050431199</v>
      </c>
      <c r="AB36" s="67">
        <f t="shared" si="7"/>
        <v>3.290294975684982</v>
      </c>
      <c r="AC36" s="67">
        <f t="shared" si="8"/>
        <v>0.10840810440043255</v>
      </c>
      <c r="AD36" s="76">
        <f t="shared" si="9"/>
        <v>3.2867318919442008</v>
      </c>
      <c r="AE36" s="208"/>
      <c r="AF36" s="208"/>
      <c r="AG36" s="200"/>
      <c r="AH36" s="200"/>
      <c r="AI36" s="200"/>
      <c r="AJ36" s="200"/>
      <c r="AK36" s="76"/>
      <c r="AL36" s="76"/>
      <c r="AM36" s="95">
        <f t="shared" si="28"/>
        <v>3.2924348674586748</v>
      </c>
      <c r="AN36" s="95">
        <f t="shared" si="29"/>
        <v>0.17351508130164159</v>
      </c>
      <c r="AO36" s="76">
        <f t="shared" si="30"/>
        <v>3.2867318919442008</v>
      </c>
      <c r="AP36" s="208"/>
      <c r="AQ36" s="208"/>
      <c r="AR36" s="200"/>
      <c r="AS36" s="200"/>
      <c r="AT36" s="200"/>
      <c r="AU36" s="200"/>
      <c r="AW36" s="71">
        <v>19.842564794931</v>
      </c>
      <c r="AX36" s="71">
        <v>60.220091921679</v>
      </c>
      <c r="AY36" s="73">
        <v>167.05166532888299</v>
      </c>
      <c r="AZ36" s="73">
        <v>70.7814736427746</v>
      </c>
      <c r="BA36" s="75">
        <v>1.8698157970732499E-5</v>
      </c>
      <c r="BB36" s="74">
        <v>48910</v>
      </c>
      <c r="BC36" s="73">
        <v>269.08218218772799</v>
      </c>
      <c r="BD36" s="146">
        <f t="shared" si="10"/>
        <v>1467554.4916478766</v>
      </c>
      <c r="BE36" s="145">
        <v>5798.78</v>
      </c>
      <c r="BF36" s="144">
        <f t="shared" si="11"/>
        <v>167.05166532888313</v>
      </c>
      <c r="BG36" s="68">
        <f t="shared" si="12"/>
        <v>0.16659423597254325</v>
      </c>
      <c r="BH36" s="140">
        <f t="shared" si="13"/>
        <v>7.6355791239811108E-2</v>
      </c>
      <c r="BI36" s="140">
        <f t="shared" si="14"/>
        <v>-5.8259360413356939E-3</v>
      </c>
      <c r="BJ36" s="141">
        <f t="shared" si="15"/>
        <v>-2.2977651124237797E-3</v>
      </c>
      <c r="BK36" s="140">
        <f t="shared" si="16"/>
        <v>6.8232090086051633E-2</v>
      </c>
      <c r="BL36" s="143">
        <f t="shared" si="17"/>
        <v>5794.8233712065075</v>
      </c>
      <c r="BM36" s="71">
        <f t="shared" si="18"/>
        <v>167.16572599763884</v>
      </c>
      <c r="BN36" s="142">
        <f t="shared" si="19"/>
        <v>1468556.518454513</v>
      </c>
      <c r="BO36" s="68">
        <f t="shared" si="20"/>
        <v>0.16689066531614702</v>
      </c>
      <c r="BP36" s="140">
        <f t="shared" si="21"/>
        <v>7.6339196344526711E-2</v>
      </c>
      <c r="BQ36" s="140">
        <f t="shared" si="22"/>
        <v>-5.8214347216207947E-3</v>
      </c>
      <c r="BR36" s="141">
        <f t="shared" si="23"/>
        <v>-2.299333996067356E-3</v>
      </c>
      <c r="BS36" s="140">
        <f t="shared" si="24"/>
        <v>6.8218427626838565E-2</v>
      </c>
      <c r="BT36" s="71">
        <f t="shared" si="25"/>
        <v>5794.8241634624601</v>
      </c>
      <c r="BU36" s="69">
        <f t="shared" si="26"/>
        <v>167.16570314309868</v>
      </c>
      <c r="BV36" s="68">
        <f t="shared" si="27"/>
        <v>3.2867318919442008</v>
      </c>
    </row>
    <row r="37" spans="2:74" x14ac:dyDescent="0.25">
      <c r="B37" s="99">
        <v>39</v>
      </c>
      <c r="C37" s="98">
        <v>45237.662465277797</v>
      </c>
      <c r="D37" s="73">
        <v>181.77207999999999</v>
      </c>
      <c r="E37" s="73">
        <v>0.98154679005524803</v>
      </c>
      <c r="F37" s="71">
        <v>19.822369873235001</v>
      </c>
      <c r="G37" s="71">
        <v>60.287449445662197</v>
      </c>
      <c r="H37" s="73">
        <f t="shared" si="0"/>
        <v>3.2866499671216207</v>
      </c>
      <c r="I37" s="73">
        <v>70.864645869132502</v>
      </c>
      <c r="J37" s="75">
        <v>1.8698908782948799E-5</v>
      </c>
      <c r="K37" s="74">
        <v>59578</v>
      </c>
      <c r="L37" s="73">
        <v>327.76210735994198</v>
      </c>
      <c r="M37" s="71">
        <v>99.793363189488801</v>
      </c>
      <c r="N37" s="73">
        <v>3.2776210735994198</v>
      </c>
      <c r="O37" s="71">
        <f t="shared" si="1"/>
        <v>-0.27471418047320229</v>
      </c>
      <c r="Q37" s="97">
        <f t="shared" si="2"/>
        <v>19.822369873235001</v>
      </c>
      <c r="R37" s="97">
        <f t="shared" si="3"/>
        <v>61.268996235717445</v>
      </c>
      <c r="S37" s="67">
        <v>70.866197175411997</v>
      </c>
      <c r="T37" s="67">
        <v>362.01263672930401</v>
      </c>
      <c r="U37" s="67">
        <v>1.5158136869929999</v>
      </c>
      <c r="V37" s="67">
        <v>92.97</v>
      </c>
      <c r="W37" s="67">
        <v>44.7</v>
      </c>
      <c r="X37" s="67">
        <f t="shared" si="4"/>
        <v>2.2350000000000002E-2</v>
      </c>
      <c r="Y37" s="67">
        <v>1</v>
      </c>
      <c r="Z37" s="67">
        <f t="shared" si="5"/>
        <v>0.99935010879353026</v>
      </c>
      <c r="AA37" s="67">
        <f t="shared" si="6"/>
        <v>1.0045030510650652</v>
      </c>
      <c r="AB37" s="67">
        <f t="shared" si="7"/>
        <v>3.2902406796158221</v>
      </c>
      <c r="AC37" s="67">
        <f t="shared" si="8"/>
        <v>0.10925144235381017</v>
      </c>
      <c r="AD37" s="76">
        <f t="shared" si="9"/>
        <v>3.2866499671216207</v>
      </c>
      <c r="AE37" s="208"/>
      <c r="AF37" s="208"/>
      <c r="AG37" s="200"/>
      <c r="AH37" s="200"/>
      <c r="AI37" s="200"/>
      <c r="AJ37" s="200"/>
      <c r="AK37" s="76"/>
      <c r="AL37" s="76"/>
      <c r="AM37" s="95">
        <f t="shared" si="28"/>
        <v>3.2923803686657718</v>
      </c>
      <c r="AN37" s="95">
        <f t="shared" si="29"/>
        <v>0.17435387405034858</v>
      </c>
      <c r="AO37" s="76">
        <f t="shared" si="30"/>
        <v>3.2866499671216207</v>
      </c>
      <c r="AP37" s="208"/>
      <c r="AQ37" s="208"/>
      <c r="AR37" s="200"/>
      <c r="AS37" s="200"/>
      <c r="AT37" s="200"/>
      <c r="AU37" s="200"/>
      <c r="AW37" s="71">
        <v>19.832616270799001</v>
      </c>
      <c r="AX37" s="71">
        <v>60.2194869215623</v>
      </c>
      <c r="AY37" s="73">
        <v>167.042689897581</v>
      </c>
      <c r="AZ37" s="73">
        <v>70.783512505709396</v>
      </c>
      <c r="BA37" s="75">
        <v>1.8697737047126101E-5</v>
      </c>
      <c r="BB37" s="74">
        <v>48909</v>
      </c>
      <c r="BC37" s="73">
        <v>269.06772481230303</v>
      </c>
      <c r="BD37" s="146">
        <f t="shared" si="10"/>
        <v>1467550.9496468967</v>
      </c>
      <c r="BE37" s="145">
        <v>5798.78</v>
      </c>
      <c r="BF37" s="144">
        <f t="shared" si="11"/>
        <v>167.04268989758035</v>
      </c>
      <c r="BG37" s="68">
        <f t="shared" si="12"/>
        <v>0.16659318778431878</v>
      </c>
      <c r="BH37" s="140">
        <f t="shared" si="13"/>
        <v>7.6355849878862236E-2</v>
      </c>
      <c r="BI37" s="140">
        <f t="shared" si="14"/>
        <v>-5.8261227198114938E-3</v>
      </c>
      <c r="BJ37" s="141">
        <f t="shared" si="15"/>
        <v>-2.2977308410877194E-3</v>
      </c>
      <c r="BK37" s="140">
        <f t="shared" si="16"/>
        <v>6.823199631796302E-2</v>
      </c>
      <c r="BL37" s="143">
        <f t="shared" si="17"/>
        <v>5794.8233766439125</v>
      </c>
      <c r="BM37" s="71">
        <f t="shared" si="18"/>
        <v>167.15674428118351</v>
      </c>
      <c r="BN37" s="142">
        <f t="shared" si="19"/>
        <v>1468552.9726571278</v>
      </c>
      <c r="BO37" s="68">
        <f t="shared" si="20"/>
        <v>0.16688961672041505</v>
      </c>
      <c r="BP37" s="140">
        <f t="shared" si="21"/>
        <v>7.6339255088686886E-2</v>
      </c>
      <c r="BQ37" s="140">
        <f t="shared" si="22"/>
        <v>-5.8216212375206593E-3</v>
      </c>
      <c r="BR37" s="141">
        <f t="shared" si="23"/>
        <v>-2.299299699173799E-3</v>
      </c>
      <c r="BS37" s="140">
        <f t="shared" si="24"/>
        <v>6.8218334151992438E-2</v>
      </c>
      <c r="BT37" s="71">
        <f t="shared" si="25"/>
        <v>5794.8241688828612</v>
      </c>
      <c r="BU37" s="69">
        <f t="shared" si="26"/>
        <v>167.15672142836186</v>
      </c>
      <c r="BV37" s="68">
        <f t="shared" si="27"/>
        <v>3.2866499671216207</v>
      </c>
    </row>
    <row r="38" spans="2:74" x14ac:dyDescent="0.25">
      <c r="B38" s="99">
        <v>40</v>
      </c>
      <c r="C38" s="98">
        <v>45237.672083333302</v>
      </c>
      <c r="D38" s="73">
        <v>31.765560000000001</v>
      </c>
      <c r="E38" s="73">
        <v>0.98144606249999999</v>
      </c>
      <c r="F38" s="71">
        <v>19.764337421276</v>
      </c>
      <c r="G38" s="71">
        <v>60.258763137550297</v>
      </c>
      <c r="H38" s="73">
        <f t="shared" si="0"/>
        <v>1.6131341507433519</v>
      </c>
      <c r="I38" s="73">
        <v>70.847505797261604</v>
      </c>
      <c r="J38" s="75">
        <v>1.8695863529572301E-5</v>
      </c>
      <c r="K38" s="74">
        <v>5111</v>
      </c>
      <c r="L38" s="73">
        <v>160.897525496166</v>
      </c>
      <c r="M38" s="71">
        <v>99.8091402442369</v>
      </c>
      <c r="N38" s="73">
        <v>1.6089752549616601</v>
      </c>
      <c r="O38" s="71">
        <f t="shared" si="1"/>
        <v>-0.25781462625258711</v>
      </c>
      <c r="Q38" s="97">
        <f t="shared" si="2"/>
        <v>19.764337421276</v>
      </c>
      <c r="R38" s="97">
        <f t="shared" si="3"/>
        <v>61.240209200050295</v>
      </c>
      <c r="S38" s="67">
        <v>70.849057866270002</v>
      </c>
      <c r="T38" s="67">
        <v>361.96634489787101</v>
      </c>
      <c r="U38" s="67">
        <v>1.515771714624</v>
      </c>
      <c r="V38" s="67">
        <v>92.97</v>
      </c>
      <c r="W38" s="67">
        <v>44.7</v>
      </c>
      <c r="X38" s="67">
        <f t="shared" si="4"/>
        <v>2.2350000000000002E-2</v>
      </c>
      <c r="Y38" s="67">
        <v>1</v>
      </c>
      <c r="Z38" s="67">
        <f t="shared" si="5"/>
        <v>0.99934994266195265</v>
      </c>
      <c r="AA38" s="67">
        <f t="shared" si="6"/>
        <v>1.0045008222864058</v>
      </c>
      <c r="AB38" s="67">
        <f t="shared" si="7"/>
        <v>1.6151663329484212</v>
      </c>
      <c r="AC38" s="67">
        <f t="shared" si="8"/>
        <v>0.12597726011397339</v>
      </c>
      <c r="AD38" s="76">
        <f t="shared" si="9"/>
        <v>1.6131341507433519</v>
      </c>
      <c r="AK38" s="76"/>
      <c r="AL38" s="76"/>
      <c r="AM38" s="95">
        <f t="shared" si="28"/>
        <v>1.6162169666474671</v>
      </c>
      <c r="AN38" s="95">
        <f t="shared" si="29"/>
        <v>0.19110722457240081</v>
      </c>
      <c r="AO38" s="76">
        <f t="shared" si="30"/>
        <v>1.6131341507433519</v>
      </c>
      <c r="AW38" s="71">
        <v>19.786269786931999</v>
      </c>
      <c r="AX38" s="71">
        <v>60.253596677855398</v>
      </c>
      <c r="AY38" s="73">
        <v>81.927674259925297</v>
      </c>
      <c r="AZ38" s="73">
        <v>70.835493635260306</v>
      </c>
      <c r="BA38" s="75">
        <v>1.8696638856025598E-5</v>
      </c>
      <c r="BB38" s="74">
        <v>4192</v>
      </c>
      <c r="BC38" s="73">
        <v>131.96682192915799</v>
      </c>
      <c r="BD38" s="146">
        <f t="shared" si="10"/>
        <v>720345.1935457678</v>
      </c>
      <c r="BE38" s="145">
        <v>5798.78</v>
      </c>
      <c r="BF38" s="144">
        <f t="shared" si="11"/>
        <v>81.927674259925155</v>
      </c>
      <c r="BG38" s="68">
        <f t="shared" si="12"/>
        <v>-0.14245933728240301</v>
      </c>
      <c r="BH38" s="140">
        <f t="shared" si="13"/>
        <v>8.1698760792217828E-2</v>
      </c>
      <c r="BI38" s="140">
        <f t="shared" si="14"/>
        <v>-1.3503673474846446E-2</v>
      </c>
      <c r="BJ38" s="141">
        <f t="shared" si="15"/>
        <v>-1.127145164567482E-3</v>
      </c>
      <c r="BK38" s="140">
        <f t="shared" si="16"/>
        <v>6.70679421528039E-2</v>
      </c>
      <c r="BL38" s="143">
        <f t="shared" si="17"/>
        <v>5794.8908775840309</v>
      </c>
      <c r="BM38" s="71">
        <f t="shared" si="18"/>
        <v>81.982658341797162</v>
      </c>
      <c r="BN38" s="142">
        <f t="shared" si="19"/>
        <v>720828.63848004444</v>
      </c>
      <c r="BO38" s="68">
        <f t="shared" si="20"/>
        <v>-0.14216796719161987</v>
      </c>
      <c r="BP38" s="140">
        <f t="shared" si="21"/>
        <v>8.1703274601359024E-2</v>
      </c>
      <c r="BQ38" s="140">
        <f t="shared" si="22"/>
        <v>-1.349246821845259E-2</v>
      </c>
      <c r="BR38" s="141">
        <f t="shared" si="23"/>
        <v>-1.1279016249768621E-3</v>
      </c>
      <c r="BS38" s="140">
        <f t="shared" si="24"/>
        <v>6.7082904757929579E-2</v>
      </c>
      <c r="BT38" s="71">
        <f t="shared" si="25"/>
        <v>5794.8900099354778</v>
      </c>
      <c r="BU38" s="69">
        <f t="shared" si="26"/>
        <v>81.982670616773007</v>
      </c>
      <c r="BV38" s="68">
        <f t="shared" si="27"/>
        <v>1.6131341507433519</v>
      </c>
    </row>
    <row r="39" spans="2:74" x14ac:dyDescent="0.25">
      <c r="B39" s="99">
        <v>41</v>
      </c>
      <c r="C39" s="98">
        <v>45237.673506944397</v>
      </c>
      <c r="D39" s="73">
        <v>181.80689000000001</v>
      </c>
      <c r="E39" s="73">
        <v>0.98146398895027598</v>
      </c>
      <c r="F39" s="71">
        <v>19.807163080173002</v>
      </c>
      <c r="G39" s="71">
        <v>60.258779624030701</v>
      </c>
      <c r="H39" s="73">
        <f t="shared" si="0"/>
        <v>1.6130707332082304</v>
      </c>
      <c r="I39" s="73">
        <v>70.835716636516295</v>
      </c>
      <c r="J39" s="75">
        <v>1.86976143941584E-5</v>
      </c>
      <c r="K39" s="74">
        <v>29240</v>
      </c>
      <c r="L39" s="73">
        <v>160.82998834642601</v>
      </c>
      <c r="M39" s="71">
        <v>99.771166524522897</v>
      </c>
      <c r="N39" s="73">
        <v>1.6082998834642599</v>
      </c>
      <c r="O39" s="71">
        <f t="shared" si="1"/>
        <v>-0.29576196788852138</v>
      </c>
      <c r="Q39" s="97">
        <f t="shared" si="2"/>
        <v>19.807163080173002</v>
      </c>
      <c r="R39" s="97">
        <f t="shared" si="3"/>
        <v>61.240243612980976</v>
      </c>
      <c r="S39" s="67">
        <v>70.837268434348999</v>
      </c>
      <c r="T39" s="67">
        <v>361.99435421257101</v>
      </c>
      <c r="U39" s="67">
        <v>1.515753189152</v>
      </c>
      <c r="V39" s="67">
        <v>92.97</v>
      </c>
      <c r="W39" s="67">
        <v>44.7</v>
      </c>
      <c r="X39" s="67">
        <f t="shared" si="4"/>
        <v>2.2350000000000002E-2</v>
      </c>
      <c r="Y39" s="67">
        <v>1</v>
      </c>
      <c r="Z39" s="67">
        <f t="shared" si="5"/>
        <v>0.99935004318905862</v>
      </c>
      <c r="AA39" s="67">
        <f t="shared" si="6"/>
        <v>1.0045008235673176</v>
      </c>
      <c r="AB39" s="67">
        <f t="shared" si="7"/>
        <v>1.6144885271942955</v>
      </c>
      <c r="AC39" s="67">
        <f t="shared" si="8"/>
        <v>8.7894098930508383E-2</v>
      </c>
      <c r="AD39" s="76">
        <f t="shared" si="9"/>
        <v>1.6130707332082304</v>
      </c>
      <c r="AK39" s="76"/>
      <c r="AL39" s="76"/>
      <c r="AM39" s="95">
        <f t="shared" si="28"/>
        <v>1.6155385574830701</v>
      </c>
      <c r="AN39" s="95">
        <f t="shared" si="29"/>
        <v>0.15298921640785507</v>
      </c>
      <c r="AO39" s="76">
        <f t="shared" si="30"/>
        <v>1.6130707332082304</v>
      </c>
      <c r="AW39" s="71">
        <v>19.792806989111</v>
      </c>
      <c r="AX39" s="71">
        <v>60.253952732259002</v>
      </c>
      <c r="AY39" s="73">
        <v>81.926043804202294</v>
      </c>
      <c r="AZ39" s="73">
        <v>70.834119185759405</v>
      </c>
      <c r="BA39" s="75">
        <v>1.8696914755125799E-5</v>
      </c>
      <c r="BB39" s="74">
        <v>23992</v>
      </c>
      <c r="BC39" s="73">
        <v>131.96419563636999</v>
      </c>
      <c r="BD39" s="146">
        <f t="shared" si="10"/>
        <v>720306.25169047795</v>
      </c>
      <c r="BE39" s="145">
        <v>5798.78</v>
      </c>
      <c r="BF39" s="144">
        <f t="shared" si="11"/>
        <v>81.926043804202266</v>
      </c>
      <c r="BG39" s="68">
        <f t="shared" si="12"/>
        <v>-0.14248281587318568</v>
      </c>
      <c r="BH39" s="140">
        <f t="shared" si="13"/>
        <v>8.1698396510589036E-2</v>
      </c>
      <c r="BI39" s="140">
        <f t="shared" si="14"/>
        <v>-1.3504268049315933E-2</v>
      </c>
      <c r="BJ39" s="141">
        <f t="shared" si="15"/>
        <v>-1.1270939795545894E-3</v>
      </c>
      <c r="BK39" s="140">
        <f t="shared" si="16"/>
        <v>6.706703448171851E-2</v>
      </c>
      <c r="BL39" s="143">
        <f t="shared" si="17"/>
        <v>5794.8909302178809</v>
      </c>
      <c r="BM39" s="71">
        <f t="shared" si="18"/>
        <v>81.981026047209809</v>
      </c>
      <c r="BN39" s="142">
        <f t="shared" si="19"/>
        <v>720789.66394293518</v>
      </c>
      <c r="BO39" s="68">
        <f t="shared" si="20"/>
        <v>-0.14219144972701353</v>
      </c>
      <c r="BP39" s="140">
        <f t="shared" si="21"/>
        <v>8.1702911293686231E-2</v>
      </c>
      <c r="BQ39" s="140">
        <f t="shared" si="22"/>
        <v>-1.3493062418572696E-2</v>
      </c>
      <c r="BR39" s="141">
        <f t="shared" si="23"/>
        <v>-1.1278503953681533E-3</v>
      </c>
      <c r="BS39" s="140">
        <f t="shared" si="24"/>
        <v>6.7081998479745386E-2</v>
      </c>
      <c r="BT39" s="71">
        <f t="shared" si="25"/>
        <v>5794.8900624885564</v>
      </c>
      <c r="BU39" s="69">
        <f t="shared" si="26"/>
        <v>81.981038323083823</v>
      </c>
      <c r="BV39" s="68">
        <f t="shared" si="27"/>
        <v>1.6130707332082304</v>
      </c>
    </row>
    <row r="40" spans="2:74" x14ac:dyDescent="0.25">
      <c r="B40" s="99">
        <v>43</v>
      </c>
      <c r="C40" s="98">
        <v>45237.691180555601</v>
      </c>
      <c r="D40" s="73">
        <v>181.76897</v>
      </c>
      <c r="E40" s="73">
        <v>0.98157358563535901</v>
      </c>
      <c r="F40" s="71">
        <v>19.839509382673999</v>
      </c>
      <c r="G40" s="71">
        <v>60.325013525272198</v>
      </c>
      <c r="H40" s="73">
        <f t="shared" si="0"/>
        <v>6.5289081022379571</v>
      </c>
      <c r="I40" s="73">
        <v>70.903219137330296</v>
      </c>
      <c r="J40" s="75">
        <v>1.87004890435372E-5</v>
      </c>
      <c r="K40" s="74">
        <v>118211</v>
      </c>
      <c r="L40" s="73">
        <v>650.33652333508803</v>
      </c>
      <c r="M40" s="71">
        <v>99.650498206526294</v>
      </c>
      <c r="N40" s="73">
        <v>6.5033652333508796</v>
      </c>
      <c r="O40" s="71">
        <f t="shared" si="1"/>
        <v>-0.39122726935491831</v>
      </c>
      <c r="Q40" s="97">
        <f t="shared" si="2"/>
        <v>19.839509382673999</v>
      </c>
      <c r="R40" s="97">
        <f t="shared" si="3"/>
        <v>61.306587110907557</v>
      </c>
      <c r="S40" s="67">
        <v>70.904769816951003</v>
      </c>
      <c r="T40" s="67">
        <v>362.03474952687401</v>
      </c>
      <c r="U40" s="67">
        <v>1.5158939762079999</v>
      </c>
      <c r="V40" s="67">
        <v>92.97</v>
      </c>
      <c r="W40" s="67">
        <v>44.7</v>
      </c>
      <c r="X40" s="67">
        <f t="shared" si="4"/>
        <v>2.2350000000000002E-2</v>
      </c>
      <c r="Y40" s="67">
        <v>1</v>
      </c>
      <c r="Z40" s="67">
        <f t="shared" si="5"/>
        <v>0.99935018812920562</v>
      </c>
      <c r="AA40" s="67">
        <f t="shared" si="6"/>
        <v>1.0045059696158833</v>
      </c>
      <c r="AB40" s="67">
        <f t="shared" si="7"/>
        <v>6.5284241934995473</v>
      </c>
      <c r="AC40" s="67">
        <f t="shared" si="8"/>
        <v>-7.4117866392390108E-3</v>
      </c>
      <c r="AD40" s="76">
        <f t="shared" si="9"/>
        <v>6.5289081022379571</v>
      </c>
      <c r="AE40" s="200">
        <f>AVERAGE(AD40:AD42)</f>
        <v>6.5293407907723555</v>
      </c>
      <c r="AF40" s="200">
        <f>AVERAGE(AC40:AC42)</f>
        <v>5.740497946432878E-3</v>
      </c>
      <c r="AG40" s="200">
        <f>STDEV(AC40:AC42)</f>
        <v>1.568773282711771E-2</v>
      </c>
      <c r="AH40" s="200">
        <f>AG40*4.303/SQRT(2)</f>
        <v>4.7732758439830783E-2</v>
      </c>
      <c r="AI40" s="200">
        <v>0.25</v>
      </c>
      <c r="AJ40" s="200">
        <f>SQRT(AI40^2+AH40^2)</f>
        <v>0.25451604316481746</v>
      </c>
      <c r="AK40" s="76"/>
      <c r="AL40" s="76"/>
      <c r="AM40" s="95">
        <f t="shared" si="28"/>
        <v>6.532669199493351</v>
      </c>
      <c r="AN40" s="95">
        <f t="shared" si="29"/>
        <v>5.7606834044802185E-2</v>
      </c>
      <c r="AO40" s="76">
        <f t="shared" si="30"/>
        <v>6.5289081022379571</v>
      </c>
      <c r="AP40" s="200">
        <f>AVERAGE(AO40:AO42)</f>
        <v>6.5293407907723555</v>
      </c>
      <c r="AQ40" s="200">
        <f>AVERAGE(AN40:AN42)</f>
        <v>7.076399572508138E-2</v>
      </c>
      <c r="AR40" s="200">
        <f>STDEV(AN40:AN42)</f>
        <v>1.5696231263345631E-2</v>
      </c>
      <c r="AS40" s="200">
        <f>AR40*4.303/SQRT(2)</f>
        <v>4.7758616465847281E-2</v>
      </c>
      <c r="AT40" s="200">
        <v>0.25</v>
      </c>
      <c r="AU40" s="200">
        <f>SQRT(AT40^2+AS40^2)</f>
        <v>0.25452089392961808</v>
      </c>
      <c r="AW40" s="71">
        <v>19.831730105014</v>
      </c>
      <c r="AX40" s="71">
        <v>60.019104307605403</v>
      </c>
      <c r="AY40" s="73">
        <v>333.00157186299901</v>
      </c>
      <c r="AZ40" s="73">
        <v>70.552902964998196</v>
      </c>
      <c r="BA40" s="75">
        <v>1.8693016335089699E-5</v>
      </c>
      <c r="BB40" s="74">
        <v>97499</v>
      </c>
      <c r="BC40" s="73">
        <v>536.389681913255</v>
      </c>
      <c r="BD40" s="146">
        <f t="shared" si="10"/>
        <v>2916785.1269222125</v>
      </c>
      <c r="BE40" s="145">
        <v>5798.78</v>
      </c>
      <c r="BF40" s="144">
        <f t="shared" si="11"/>
        <v>333.00157186299845</v>
      </c>
      <c r="BG40" s="68">
        <f t="shared" si="12"/>
        <v>0.46490443679085158</v>
      </c>
      <c r="BH40" s="140">
        <f t="shared" si="13"/>
        <v>4.921321109256302E-2</v>
      </c>
      <c r="BI40" s="140">
        <f t="shared" si="14"/>
        <v>-2.7385358154866633E-3</v>
      </c>
      <c r="BJ40" s="141">
        <f t="shared" si="15"/>
        <v>-4.5806260282969359E-3</v>
      </c>
      <c r="BK40" s="140">
        <f t="shared" si="16"/>
        <v>4.1894049248779416E-2</v>
      </c>
      <c r="BL40" s="143">
        <f t="shared" si="17"/>
        <v>5796.350656250971</v>
      </c>
      <c r="BM40" s="71">
        <f t="shared" si="18"/>
        <v>333.14113817549367</v>
      </c>
      <c r="BN40" s="142">
        <f t="shared" si="19"/>
        <v>2918007.5984625961</v>
      </c>
      <c r="BO40" s="68">
        <f t="shared" si="20"/>
        <v>0.46508641845739168</v>
      </c>
      <c r="BP40" s="140">
        <f t="shared" si="21"/>
        <v>4.9191671427255147E-2</v>
      </c>
      <c r="BQ40" s="140">
        <f t="shared" si="22"/>
        <v>-2.7373069467815253E-3</v>
      </c>
      <c r="BR40" s="141">
        <f t="shared" si="23"/>
        <v>-4.5825458423089608E-3</v>
      </c>
      <c r="BS40" s="140">
        <f t="shared" si="24"/>
        <v>4.1871818638164665E-2</v>
      </c>
      <c r="BT40" s="71">
        <f t="shared" si="25"/>
        <v>5796.3519453551735</v>
      </c>
      <c r="BU40" s="69">
        <f t="shared" si="26"/>
        <v>333.14106408516147</v>
      </c>
      <c r="BV40" s="68">
        <f t="shared" si="27"/>
        <v>6.5289081022379571</v>
      </c>
    </row>
    <row r="41" spans="2:74" x14ac:dyDescent="0.25">
      <c r="B41" s="99">
        <v>44</v>
      </c>
      <c r="C41" s="98">
        <v>45237.693865740701</v>
      </c>
      <c r="D41" s="73">
        <v>181.78809000000001</v>
      </c>
      <c r="E41" s="73">
        <v>0.98154407734806703</v>
      </c>
      <c r="F41" s="71">
        <v>19.855413143945999</v>
      </c>
      <c r="G41" s="71">
        <v>60.333604686168798</v>
      </c>
      <c r="H41" s="73">
        <f t="shared" si="0"/>
        <v>6.530043742622162</v>
      </c>
      <c r="I41" s="73">
        <v>70.908686535101296</v>
      </c>
      <c r="J41" s="75">
        <v>1.8701339211031201E-5</v>
      </c>
      <c r="K41" s="74">
        <v>118280</v>
      </c>
      <c r="L41" s="73">
        <v>650.64768544517995</v>
      </c>
      <c r="M41" s="71">
        <v>99.680832550290603</v>
      </c>
      <c r="N41" s="73">
        <v>6.5064768544518001</v>
      </c>
      <c r="O41" s="71">
        <f t="shared" si="1"/>
        <v>-0.3608993920904201</v>
      </c>
      <c r="Q41" s="97">
        <f t="shared" si="2"/>
        <v>19.855413143945999</v>
      </c>
      <c r="R41" s="97">
        <f t="shared" si="3"/>
        <v>61.315148763516866</v>
      </c>
      <c r="S41" s="67">
        <v>70.910236999150996</v>
      </c>
      <c r="T41" s="67">
        <v>362.04763077705798</v>
      </c>
      <c r="U41" s="67">
        <v>1.51590704135</v>
      </c>
      <c r="V41" s="67">
        <v>92.97</v>
      </c>
      <c r="W41" s="67">
        <v>44.7</v>
      </c>
      <c r="X41" s="67">
        <f t="shared" si="4"/>
        <v>2.2350000000000002E-2</v>
      </c>
      <c r="Y41" s="67">
        <v>1</v>
      </c>
      <c r="Z41" s="67">
        <f t="shared" si="5"/>
        <v>0.99935023433749959</v>
      </c>
      <c r="AA41" s="67">
        <f t="shared" si="6"/>
        <v>1.0045066371107196</v>
      </c>
      <c r="AB41" s="67">
        <f t="shared" si="7"/>
        <v>6.5315524466170212</v>
      </c>
      <c r="AC41" s="67">
        <f t="shared" si="8"/>
        <v>2.3104041172216011E-2</v>
      </c>
      <c r="AD41" s="76">
        <f t="shared" si="9"/>
        <v>6.530043742622162</v>
      </c>
      <c r="AE41" s="208"/>
      <c r="AF41" s="208"/>
      <c r="AG41" s="200"/>
      <c r="AH41" s="200"/>
      <c r="AI41" s="200"/>
      <c r="AJ41" s="200"/>
      <c r="AK41" s="76"/>
      <c r="AL41" s="76"/>
      <c r="AM41" s="95">
        <f t="shared" si="28"/>
        <v>6.5357991845041106</v>
      </c>
      <c r="AN41" s="95">
        <f t="shared" si="29"/>
        <v>8.8137876387906461E-2</v>
      </c>
      <c r="AO41" s="76">
        <f t="shared" si="30"/>
        <v>6.530043742622162</v>
      </c>
      <c r="AP41" s="208"/>
      <c r="AQ41" s="208"/>
      <c r="AR41" s="200"/>
      <c r="AS41" s="200"/>
      <c r="AT41" s="200"/>
      <c r="AU41" s="200"/>
      <c r="AW41" s="71">
        <v>19.847896607717001</v>
      </c>
      <c r="AX41" s="71">
        <v>60.027526104603098</v>
      </c>
      <c r="AY41" s="73">
        <v>333.03484915182401</v>
      </c>
      <c r="AZ41" s="73">
        <v>70.558128408061606</v>
      </c>
      <c r="BA41" s="75">
        <v>1.86938735797947E-5</v>
      </c>
      <c r="BB41" s="74">
        <v>97519</v>
      </c>
      <c r="BC41" s="73">
        <v>536.44328404572605</v>
      </c>
      <c r="BD41" s="146">
        <f t="shared" si="10"/>
        <v>2917158.8777731601</v>
      </c>
      <c r="BE41" s="145">
        <v>5798.78</v>
      </c>
      <c r="BF41" s="144">
        <f t="shared" si="11"/>
        <v>333.03484915182395</v>
      </c>
      <c r="BG41" s="68">
        <f t="shared" si="12"/>
        <v>0.46496008282799717</v>
      </c>
      <c r="BH41" s="140">
        <f t="shared" si="13"/>
        <v>4.9206625118798884E-2</v>
      </c>
      <c r="BI41" s="140">
        <f t="shared" si="14"/>
        <v>-2.7380399215700207E-3</v>
      </c>
      <c r="BJ41" s="141">
        <f t="shared" si="15"/>
        <v>-4.580792858933566E-3</v>
      </c>
      <c r="BK41" s="140">
        <f t="shared" si="16"/>
        <v>4.1887792338295302E-2</v>
      </c>
      <c r="BL41" s="143">
        <f t="shared" si="17"/>
        <v>5796.351019075445</v>
      </c>
      <c r="BM41" s="71">
        <f t="shared" si="18"/>
        <v>333.17440855620436</v>
      </c>
      <c r="BN41" s="142">
        <f t="shared" si="19"/>
        <v>2918381.3232814963</v>
      </c>
      <c r="BO41" s="68">
        <f t="shared" si="20"/>
        <v>0.4651420373097323</v>
      </c>
      <c r="BP41" s="140">
        <f t="shared" si="21"/>
        <v>4.9185087555333212E-2</v>
      </c>
      <c r="BQ41" s="140">
        <f t="shared" si="22"/>
        <v>-2.7368114664522662E-3</v>
      </c>
      <c r="BR41" s="141">
        <f t="shared" si="23"/>
        <v>-4.5827124560106017E-3</v>
      </c>
      <c r="BS41" s="140">
        <f t="shared" si="24"/>
        <v>4.1865563632870348E-2</v>
      </c>
      <c r="BT41" s="71">
        <f t="shared" si="25"/>
        <v>5796.3523080691693</v>
      </c>
      <c r="BU41" s="69">
        <f t="shared" si="26"/>
        <v>333.17433446482778</v>
      </c>
      <c r="BV41" s="68">
        <f t="shared" si="27"/>
        <v>6.530043742622162</v>
      </c>
    </row>
    <row r="42" spans="2:74" x14ac:dyDescent="0.25">
      <c r="B42" s="99">
        <v>45</v>
      </c>
      <c r="C42" s="98">
        <v>45237.696423611102</v>
      </c>
      <c r="D42" s="73">
        <v>181.84371999999999</v>
      </c>
      <c r="E42" s="73">
        <v>0.98158472928176799</v>
      </c>
      <c r="F42" s="71">
        <v>19.860836673704</v>
      </c>
      <c r="G42" s="71">
        <v>60.338328797230901</v>
      </c>
      <c r="H42" s="73">
        <f t="shared" si="0"/>
        <v>6.5290705274569483</v>
      </c>
      <c r="I42" s="73">
        <v>70.912676295552302</v>
      </c>
      <c r="J42" s="75">
        <v>1.8701672322619899E-5</v>
      </c>
      <c r="K42" s="74">
        <v>118273</v>
      </c>
      <c r="L42" s="73">
        <v>650.410143391259</v>
      </c>
      <c r="M42" s="71">
        <v>99.659302842902903</v>
      </c>
      <c r="N42" s="73">
        <v>6.5041014339125898</v>
      </c>
      <c r="O42" s="71">
        <f t="shared" si="1"/>
        <v>-0.38242952713338019</v>
      </c>
      <c r="Q42" s="97">
        <f t="shared" si="2"/>
        <v>19.860836673704</v>
      </c>
      <c r="R42" s="97">
        <f t="shared" si="3"/>
        <v>61.319913526512671</v>
      </c>
      <c r="S42" s="67">
        <v>70.914226660601003</v>
      </c>
      <c r="T42" s="67">
        <v>362.05255907026702</v>
      </c>
      <c r="U42" s="67">
        <v>1.5159158032610001</v>
      </c>
      <c r="V42" s="67">
        <v>92.97</v>
      </c>
      <c r="W42" s="67">
        <v>44.7</v>
      </c>
      <c r="X42" s="67">
        <f t="shared" si="4"/>
        <v>2.2350000000000002E-2</v>
      </c>
      <c r="Y42" s="67">
        <v>1</v>
      </c>
      <c r="Z42" s="67">
        <f t="shared" si="5"/>
        <v>0.99935025201522742</v>
      </c>
      <c r="AA42" s="67">
        <f t="shared" si="6"/>
        <v>1.004507004153431</v>
      </c>
      <c r="AB42" s="67">
        <f t="shared" si="7"/>
        <v>6.5291703725697916</v>
      </c>
      <c r="AC42" s="67">
        <f t="shared" si="8"/>
        <v>1.5292393063216371E-3</v>
      </c>
      <c r="AD42" s="76">
        <f t="shared" si="9"/>
        <v>6.5290705274569483</v>
      </c>
      <c r="AE42" s="208"/>
      <c r="AF42" s="208"/>
      <c r="AG42" s="200"/>
      <c r="AH42" s="200"/>
      <c r="AI42" s="200"/>
      <c r="AJ42" s="200"/>
      <c r="AK42" s="76"/>
      <c r="AL42" s="76"/>
      <c r="AM42" s="95">
        <f t="shared" si="28"/>
        <v>6.5334154460895704</v>
      </c>
      <c r="AN42" s="95">
        <f t="shared" si="29"/>
        <v>6.6547276742535494E-2</v>
      </c>
      <c r="AO42" s="76">
        <f t="shared" si="30"/>
        <v>6.5290705274569483</v>
      </c>
      <c r="AP42" s="208"/>
      <c r="AQ42" s="208"/>
      <c r="AR42" s="200"/>
      <c r="AS42" s="200"/>
      <c r="AT42" s="200"/>
      <c r="AU42" s="200"/>
      <c r="AW42" s="71">
        <v>19.856116921967001</v>
      </c>
      <c r="AX42" s="71">
        <v>60.032143587439101</v>
      </c>
      <c r="AY42" s="73">
        <v>332.97052080437402</v>
      </c>
      <c r="AZ42" s="73">
        <v>70.561235449756097</v>
      </c>
      <c r="BA42" s="75">
        <v>1.8694318589945099E-5</v>
      </c>
      <c r="BB42" s="74">
        <v>97530</v>
      </c>
      <c r="BC42" s="73">
        <v>536.33966573055102</v>
      </c>
      <c r="BD42" s="146">
        <f t="shared" si="10"/>
        <v>2916654.4067124543</v>
      </c>
      <c r="BE42" s="145">
        <v>5798.78</v>
      </c>
      <c r="BF42" s="144">
        <f t="shared" si="11"/>
        <v>332.97052080437328</v>
      </c>
      <c r="BG42" s="68">
        <f t="shared" si="12"/>
        <v>0.46488497277979823</v>
      </c>
      <c r="BH42" s="140">
        <f t="shared" si="13"/>
        <v>4.9215514670408876E-2</v>
      </c>
      <c r="BI42" s="140">
        <f t="shared" si="14"/>
        <v>-2.7384859441918321E-3</v>
      </c>
      <c r="BJ42" s="141">
        <f t="shared" si="15"/>
        <v>-4.5797600477052777E-3</v>
      </c>
      <c r="BK42" s="140">
        <f t="shared" si="16"/>
        <v>4.1897268678511762E-2</v>
      </c>
      <c r="BL42" s="143">
        <f t="shared" si="17"/>
        <v>5796.3504695633237</v>
      </c>
      <c r="BM42" s="71">
        <f t="shared" si="18"/>
        <v>333.11008483161038</v>
      </c>
      <c r="BN42" s="142">
        <f t="shared" si="19"/>
        <v>2917876.9174442641</v>
      </c>
      <c r="BO42" s="68">
        <f t="shared" si="20"/>
        <v>0.46506696843400419</v>
      </c>
      <c r="BP42" s="140">
        <f t="shared" si="21"/>
        <v>4.919397373995351E-2</v>
      </c>
      <c r="BQ42" s="140">
        <f t="shared" si="22"/>
        <v>-2.7372569963677752E-3</v>
      </c>
      <c r="BR42" s="141">
        <f t="shared" si="23"/>
        <v>-4.5816796463366916E-3</v>
      </c>
      <c r="BS42" s="140">
        <f t="shared" si="24"/>
        <v>4.1875037097249046E-2</v>
      </c>
      <c r="BT42" s="71">
        <f t="shared" si="25"/>
        <v>5796.3517587238121</v>
      </c>
      <c r="BU42" s="69">
        <f t="shared" si="26"/>
        <v>333.11001074494737</v>
      </c>
      <c r="BV42" s="68">
        <f t="shared" si="27"/>
        <v>6.5290705274569483</v>
      </c>
    </row>
    <row r="43" spans="2:74" x14ac:dyDescent="0.25">
      <c r="B43" s="99">
        <v>46</v>
      </c>
      <c r="C43" s="98">
        <v>45237.701759259297</v>
      </c>
      <c r="D43" s="73">
        <v>181.75522000000001</v>
      </c>
      <c r="E43" s="73">
        <v>0.98164971270718304</v>
      </c>
      <c r="F43" s="71">
        <v>19.827410700754001</v>
      </c>
      <c r="G43" s="71">
        <v>60.302184017295097</v>
      </c>
      <c r="H43" s="73">
        <f t="shared" si="0"/>
        <v>4.7904656410789235</v>
      </c>
      <c r="I43" s="73">
        <v>70.880348348385397</v>
      </c>
      <c r="J43" s="75">
        <v>1.8699462071884399E-5</v>
      </c>
      <c r="K43" s="74">
        <v>86792</v>
      </c>
      <c r="L43" s="73">
        <v>477.52136087205599</v>
      </c>
      <c r="M43" s="71">
        <v>99.738058934509695</v>
      </c>
      <c r="N43" s="73">
        <v>4.7752136087205601</v>
      </c>
      <c r="O43" s="71">
        <f t="shared" si="1"/>
        <v>-0.31838308634498952</v>
      </c>
      <c r="Q43" s="97">
        <f t="shared" si="2"/>
        <v>19.827410700754001</v>
      </c>
      <c r="R43" s="97">
        <f t="shared" si="3"/>
        <v>61.283833730002279</v>
      </c>
      <c r="S43" s="67">
        <v>70.881899418090995</v>
      </c>
      <c r="T43" s="67">
        <v>362.02023725886602</v>
      </c>
      <c r="U43" s="67">
        <v>1.515846127214</v>
      </c>
      <c r="V43" s="67">
        <v>92.97</v>
      </c>
      <c r="W43" s="67">
        <v>44.7</v>
      </c>
      <c r="X43" s="67">
        <f t="shared" si="4"/>
        <v>2.2350000000000002E-2</v>
      </c>
      <c r="Y43" s="67">
        <v>1</v>
      </c>
      <c r="Z43" s="67">
        <f t="shared" si="5"/>
        <v>0.99935013606413559</v>
      </c>
      <c r="AA43" s="67">
        <f t="shared" si="6"/>
        <v>1.004504195869373</v>
      </c>
      <c r="AB43" s="67">
        <f t="shared" si="7"/>
        <v>4.7936048894251941</v>
      </c>
      <c r="AC43" s="67">
        <f t="shared" si="8"/>
        <v>6.5531173407260487E-2</v>
      </c>
      <c r="AD43" s="76">
        <f t="shared" si="9"/>
        <v>4.7904656410789235</v>
      </c>
      <c r="AE43" s="200">
        <f>AVERAGE(AD43:AD45)</f>
        <v>4.789940296685284</v>
      </c>
      <c r="AF43" s="200">
        <f>AVERAGE(AC43:AC45)</f>
        <v>9.4322805312920269E-2</v>
      </c>
      <c r="AG43" s="200">
        <f>STDEV(AC43:AC45)</f>
        <v>3.8526043441559382E-2</v>
      </c>
      <c r="AH43" s="200">
        <f>AG43*4.303/SQRT(2)</f>
        <v>0.11722244032991029</v>
      </c>
      <c r="AI43" s="200">
        <v>0.25</v>
      </c>
      <c r="AJ43" s="200">
        <f>SQRT(AI43^2+AH43^2)</f>
        <v>0.27611791053261897</v>
      </c>
      <c r="AK43" s="76"/>
      <c r="AL43" s="76"/>
      <c r="AM43" s="95">
        <f t="shared" si="28"/>
        <v>4.7967221061323331</v>
      </c>
      <c r="AN43" s="95">
        <f t="shared" si="29"/>
        <v>0.13060244080991881</v>
      </c>
      <c r="AO43" s="76">
        <f t="shared" si="30"/>
        <v>4.7904656410789235</v>
      </c>
      <c r="AP43" s="200">
        <f>AVERAGE(AO43:AO45)</f>
        <v>4.789940296685284</v>
      </c>
      <c r="AQ43" s="200">
        <f>AVERAGE(AN43:AN45)</f>
        <v>0.1594220407782351</v>
      </c>
      <c r="AR43" s="200">
        <f>STDEV(AN43:AN45)</f>
        <v>3.8555164513726606E-2</v>
      </c>
      <c r="AS43" s="200">
        <f>AR43*4.303/SQRT(2)</f>
        <v>0.11731104644773403</v>
      </c>
      <c r="AT43" s="200">
        <v>0.25</v>
      </c>
      <c r="AU43" s="200">
        <f>SQRT(AT43^2+AS43^2)</f>
        <v>0.27615553881583188</v>
      </c>
      <c r="AW43" s="71">
        <v>19.844638820109999</v>
      </c>
      <c r="AX43" s="71">
        <v>60.143189589652103</v>
      </c>
      <c r="AY43" s="73">
        <v>243.81566404775299</v>
      </c>
      <c r="AZ43" s="73">
        <v>70.692410199235994</v>
      </c>
      <c r="BA43" s="75">
        <v>1.8696446326059999E-5</v>
      </c>
      <c r="BB43" s="74">
        <v>71381</v>
      </c>
      <c r="BC43" s="73">
        <v>392.73149899078498</v>
      </c>
      <c r="BD43" s="146">
        <f t="shared" si="10"/>
        <v>2139429.4820009875</v>
      </c>
      <c r="BE43" s="145">
        <v>5798.78</v>
      </c>
      <c r="BF43" s="144">
        <f t="shared" si="11"/>
        <v>243.81566404775245</v>
      </c>
      <c r="BG43" s="68">
        <f t="shared" si="12"/>
        <v>0.33029797622188323</v>
      </c>
      <c r="BH43" s="140">
        <f t="shared" si="13"/>
        <v>6.3797069363155046E-2</v>
      </c>
      <c r="BI43" s="140">
        <f t="shared" si="14"/>
        <v>-3.8300310256628519E-3</v>
      </c>
      <c r="BJ43" s="141">
        <f t="shared" si="15"/>
        <v>-3.3536287839041582E-3</v>
      </c>
      <c r="BK43" s="140">
        <f t="shared" si="16"/>
        <v>5.6613409553588033E-2</v>
      </c>
      <c r="BL43" s="143">
        <f t="shared" si="17"/>
        <v>5795.4971129294881</v>
      </c>
      <c r="BM43" s="71">
        <f t="shared" si="18"/>
        <v>243.95377459728667</v>
      </c>
      <c r="BN43" s="142">
        <f t="shared" si="19"/>
        <v>2140641.3720680308</v>
      </c>
      <c r="BO43" s="68">
        <f t="shared" si="20"/>
        <v>0.33054391475925826</v>
      </c>
      <c r="BP43" s="140">
        <f t="shared" si="21"/>
        <v>6.3773439923591843E-2</v>
      </c>
      <c r="BQ43" s="140">
        <f t="shared" si="22"/>
        <v>-3.8276574916908958E-3</v>
      </c>
      <c r="BR43" s="141">
        <f t="shared" si="23"/>
        <v>-3.3555284629755901E-3</v>
      </c>
      <c r="BS43" s="140">
        <f t="shared" si="24"/>
        <v>5.6590253968925357E-2</v>
      </c>
      <c r="BT43" s="71">
        <f t="shared" si="25"/>
        <v>5795.4984556709005</v>
      </c>
      <c r="BU43" s="69">
        <f t="shared" si="26"/>
        <v>243.95371807637852</v>
      </c>
      <c r="BV43" s="68">
        <f t="shared" si="27"/>
        <v>4.7904656410789235</v>
      </c>
    </row>
    <row r="44" spans="2:74" x14ac:dyDescent="0.25">
      <c r="B44" s="99">
        <v>47</v>
      </c>
      <c r="C44" s="98">
        <v>45237.704872685201</v>
      </c>
      <c r="D44" s="73">
        <v>181.77795</v>
      </c>
      <c r="E44" s="73">
        <v>0.98170244444444399</v>
      </c>
      <c r="F44" s="71">
        <v>19.781437062515</v>
      </c>
      <c r="G44" s="71">
        <v>60.286885300692603</v>
      </c>
      <c r="H44" s="73">
        <f t="shared" si="0"/>
        <v>4.7900847121123435</v>
      </c>
      <c r="I44" s="73">
        <v>70.875485339890602</v>
      </c>
      <c r="J44" s="75">
        <v>1.8697226683505799E-5</v>
      </c>
      <c r="K44" s="74">
        <v>86859</v>
      </c>
      <c r="L44" s="73">
        <v>477.83023188456002</v>
      </c>
      <c r="M44" s="71">
        <v>99.810507858288801</v>
      </c>
      <c r="N44" s="73">
        <v>4.7783023188455997</v>
      </c>
      <c r="O44" s="71">
        <f t="shared" si="1"/>
        <v>-0.24597463249346097</v>
      </c>
      <c r="Q44" s="97">
        <f t="shared" si="2"/>
        <v>19.781437062515</v>
      </c>
      <c r="R44" s="97">
        <f t="shared" si="3"/>
        <v>61.268587745137047</v>
      </c>
      <c r="S44" s="67">
        <v>70.877036907114999</v>
      </c>
      <c r="T44" s="67">
        <v>361.98575738351298</v>
      </c>
      <c r="U44" s="67">
        <v>1.515830529334</v>
      </c>
      <c r="V44" s="67">
        <v>92.97</v>
      </c>
      <c r="W44" s="67">
        <v>44.7</v>
      </c>
      <c r="X44" s="67">
        <f t="shared" si="4"/>
        <v>2.2350000000000002E-2</v>
      </c>
      <c r="Y44" s="67">
        <v>1</v>
      </c>
      <c r="Z44" s="67">
        <f t="shared" si="5"/>
        <v>0.99935001233700471</v>
      </c>
      <c r="AA44" s="67">
        <f t="shared" si="6"/>
        <v>1.0045030072338061</v>
      </c>
      <c r="AB44" s="67">
        <f t="shared" si="7"/>
        <v>4.7966992255863747</v>
      </c>
      <c r="AC44" s="67">
        <f t="shared" si="8"/>
        <v>0.138087609542803</v>
      </c>
      <c r="AD44" s="76">
        <f t="shared" si="9"/>
        <v>4.7900847121123435</v>
      </c>
      <c r="AE44" s="208"/>
      <c r="AF44" s="208"/>
      <c r="AG44" s="200"/>
      <c r="AH44" s="200"/>
      <c r="AI44" s="200"/>
      <c r="AJ44" s="200"/>
      <c r="AK44" s="76"/>
      <c r="AL44" s="76"/>
      <c r="AM44" s="95">
        <f t="shared" si="28"/>
        <v>4.7998190487526742</v>
      </c>
      <c r="AN44" s="95">
        <f t="shared" si="29"/>
        <v>0.20321846533770299</v>
      </c>
      <c r="AO44" s="76">
        <f t="shared" si="30"/>
        <v>4.7900847121123435</v>
      </c>
      <c r="AP44" s="208"/>
      <c r="AQ44" s="208"/>
      <c r="AR44" s="200"/>
      <c r="AS44" s="200"/>
      <c r="AT44" s="200"/>
      <c r="AU44" s="200"/>
      <c r="AW44" s="71">
        <v>19.820271927425001</v>
      </c>
      <c r="AX44" s="71">
        <v>60.128073072875701</v>
      </c>
      <c r="AY44" s="73">
        <v>243.83299042500201</v>
      </c>
      <c r="AZ44" s="73">
        <v>70.681766355749303</v>
      </c>
      <c r="BA44" s="75">
        <v>1.86950979365298E-5</v>
      </c>
      <c r="BB44" s="74">
        <v>71395</v>
      </c>
      <c r="BC44" s="73">
        <v>392.75940783796898</v>
      </c>
      <c r="BD44" s="146">
        <f t="shared" si="10"/>
        <v>2139413.6645946694</v>
      </c>
      <c r="BE44" s="145">
        <v>5798.78</v>
      </c>
      <c r="BF44" s="144">
        <f t="shared" si="11"/>
        <v>243.83299042500119</v>
      </c>
      <c r="BG44" s="68">
        <f t="shared" si="12"/>
        <v>0.33029476534826779</v>
      </c>
      <c r="BH44" s="140">
        <f t="shared" si="13"/>
        <v>6.3797377774666181E-2</v>
      </c>
      <c r="BI44" s="140">
        <f t="shared" si="14"/>
        <v>-3.8303098113444799E-3</v>
      </c>
      <c r="BJ44" s="141">
        <f t="shared" si="15"/>
        <v>-3.3541887434647851E-3</v>
      </c>
      <c r="BK44" s="140">
        <f t="shared" si="16"/>
        <v>5.6612879219856915E-2</v>
      </c>
      <c r="BL44" s="143">
        <f t="shared" si="17"/>
        <v>5795.4971436823744</v>
      </c>
      <c r="BM44" s="71">
        <f t="shared" si="18"/>
        <v>243.97110949455072</v>
      </c>
      <c r="BN44" s="142">
        <f t="shared" si="19"/>
        <v>2140625.5343429763</v>
      </c>
      <c r="BO44" s="68">
        <f t="shared" si="20"/>
        <v>0.3305407015811278</v>
      </c>
      <c r="BP44" s="140">
        <f t="shared" si="21"/>
        <v>6.3773748724072876E-2</v>
      </c>
      <c r="BQ44" s="140">
        <f t="shared" si="22"/>
        <v>-3.8279361400420622E-3</v>
      </c>
      <c r="BR44" s="141">
        <f t="shared" si="23"/>
        <v>-3.3560887219194367E-3</v>
      </c>
      <c r="BS44" s="140">
        <f t="shared" si="24"/>
        <v>5.6589723862111377E-2</v>
      </c>
      <c r="BT44" s="71">
        <f t="shared" si="25"/>
        <v>5795.4984864106282</v>
      </c>
      <c r="BU44" s="69">
        <f t="shared" si="26"/>
        <v>243.97105297018052</v>
      </c>
      <c r="BV44" s="68">
        <f t="shared" si="27"/>
        <v>4.7900847121123435</v>
      </c>
    </row>
    <row r="45" spans="2:74" x14ac:dyDescent="0.25">
      <c r="B45" s="99">
        <v>48</v>
      </c>
      <c r="C45" s="98">
        <v>45237.707488425898</v>
      </c>
      <c r="D45" s="73">
        <v>181.76467</v>
      </c>
      <c r="E45" s="73">
        <v>0.981721856353589</v>
      </c>
      <c r="F45" s="71">
        <v>19.771736671250999</v>
      </c>
      <c r="G45" s="71">
        <v>60.280634887312303</v>
      </c>
      <c r="H45" s="73">
        <f t="shared" si="0"/>
        <v>4.7892705368645849</v>
      </c>
      <c r="I45" s="73">
        <v>70.870985443081295</v>
      </c>
      <c r="J45" s="75">
        <v>1.86966844220132E-5</v>
      </c>
      <c r="K45" s="74">
        <v>86787</v>
      </c>
      <c r="L45" s="73">
        <v>477.469026296474</v>
      </c>
      <c r="M45" s="71">
        <v>99.752018212963705</v>
      </c>
      <c r="N45" s="73">
        <v>4.7746902629647403</v>
      </c>
      <c r="O45" s="71">
        <f t="shared" si="1"/>
        <v>-0.30443621398322507</v>
      </c>
      <c r="Q45" s="97">
        <f t="shared" si="2"/>
        <v>19.771736671250999</v>
      </c>
      <c r="R45" s="97">
        <f t="shared" si="3"/>
        <v>61.26235674366589</v>
      </c>
      <c r="S45" s="67">
        <v>70.872537157983004</v>
      </c>
      <c r="T45" s="67">
        <v>361.97760734515299</v>
      </c>
      <c r="U45" s="67">
        <v>1.5158202006749999</v>
      </c>
      <c r="V45" s="67">
        <v>92.97</v>
      </c>
      <c r="W45" s="67">
        <v>44.7</v>
      </c>
      <c r="X45" s="67">
        <f t="shared" si="4"/>
        <v>2.2350000000000002E-2</v>
      </c>
      <c r="Y45" s="67">
        <v>1</v>
      </c>
      <c r="Z45" s="67">
        <f t="shared" si="5"/>
        <v>0.99934998308635237</v>
      </c>
      <c r="AA45" s="67">
        <f t="shared" si="6"/>
        <v>1.0045025216080203</v>
      </c>
      <c r="AB45" s="67">
        <f t="shared" si="7"/>
        <v>4.7930708054584228</v>
      </c>
      <c r="AC45" s="67">
        <f t="shared" si="8"/>
        <v>7.9349632988697349E-2</v>
      </c>
      <c r="AD45" s="76">
        <f t="shared" si="9"/>
        <v>4.7892705368645849</v>
      </c>
      <c r="AE45" s="208"/>
      <c r="AF45" s="208"/>
      <c r="AG45" s="200"/>
      <c r="AH45" s="200"/>
      <c r="AI45" s="200"/>
      <c r="AJ45" s="200"/>
      <c r="AK45" s="76"/>
      <c r="AL45" s="76"/>
      <c r="AM45" s="95">
        <f t="shared" si="28"/>
        <v>4.7961884090453433</v>
      </c>
      <c r="AN45" s="95">
        <f t="shared" si="29"/>
        <v>0.1444452161870835</v>
      </c>
      <c r="AO45" s="76">
        <f t="shared" si="30"/>
        <v>4.7892705368645849</v>
      </c>
      <c r="AP45" s="208"/>
      <c r="AQ45" s="208"/>
      <c r="AR45" s="200"/>
      <c r="AS45" s="200"/>
      <c r="AT45" s="200"/>
      <c r="AU45" s="200"/>
      <c r="AW45" s="71">
        <v>19.806471914923002</v>
      </c>
      <c r="AX45" s="71">
        <v>60.121872645574904</v>
      </c>
      <c r="AY45" s="73">
        <v>243.802987997862</v>
      </c>
      <c r="AZ45" s="73">
        <v>70.678445567915205</v>
      </c>
      <c r="BA45" s="75">
        <v>1.8694389212108798E-5</v>
      </c>
      <c r="BB45" s="74">
        <v>71381</v>
      </c>
      <c r="BC45" s="73">
        <v>392.71108076173402</v>
      </c>
      <c r="BD45" s="146">
        <f t="shared" si="10"/>
        <v>2139131.0120711736</v>
      </c>
      <c r="BE45" s="145">
        <v>5798.78</v>
      </c>
      <c r="BF45" s="144">
        <f t="shared" si="11"/>
        <v>243.80298799786206</v>
      </c>
      <c r="BG45" s="68">
        <f t="shared" si="12"/>
        <v>0.33023738395309471</v>
      </c>
      <c r="BH45" s="140">
        <f t="shared" si="13"/>
        <v>6.3802889015688549E-2</v>
      </c>
      <c r="BI45" s="140">
        <f t="shared" si="14"/>
        <v>-3.8310057992689459E-3</v>
      </c>
      <c r="BJ45" s="141">
        <f t="shared" si="15"/>
        <v>-3.3539576991751209E-3</v>
      </c>
      <c r="BK45" s="140">
        <f t="shared" si="16"/>
        <v>5.6617925517244483E-2</v>
      </c>
      <c r="BL45" s="143">
        <f t="shared" si="17"/>
        <v>5795.4968510586905</v>
      </c>
      <c r="BM45" s="71">
        <f t="shared" si="18"/>
        <v>243.9411023895189</v>
      </c>
      <c r="BN45" s="142">
        <f t="shared" si="19"/>
        <v>2140342.8297803523</v>
      </c>
      <c r="BO45" s="68">
        <f t="shared" si="20"/>
        <v>0.33048334211416064</v>
      </c>
      <c r="BP45" s="140">
        <f t="shared" si="21"/>
        <v>6.3779260851511643E-2</v>
      </c>
      <c r="BQ45" s="140">
        <f t="shared" si="22"/>
        <v>-3.8286314621786689E-3</v>
      </c>
      <c r="BR45" s="141">
        <f t="shared" si="23"/>
        <v>-3.3558577161973422E-3</v>
      </c>
      <c r="BS45" s="140">
        <f t="shared" si="24"/>
        <v>5.6594771673135633E-2</v>
      </c>
      <c r="BT45" s="71">
        <f t="shared" si="25"/>
        <v>5795.4981936991726</v>
      </c>
      <c r="BU45" s="69">
        <f t="shared" si="26"/>
        <v>243.9410458757925</v>
      </c>
      <c r="BV45" s="68">
        <f t="shared" si="27"/>
        <v>4.7892705368645849</v>
      </c>
    </row>
    <row r="46" spans="2:74" x14ac:dyDescent="0.25">
      <c r="B46" s="99">
        <v>49</v>
      </c>
      <c r="C46" s="98">
        <v>45237.712384259299</v>
      </c>
      <c r="D46" s="73">
        <v>181.79816</v>
      </c>
      <c r="E46" s="73">
        <v>0.98176237016574597</v>
      </c>
      <c r="F46" s="71">
        <v>19.812789281274998</v>
      </c>
      <c r="G46" s="71">
        <v>60.265628317058798</v>
      </c>
      <c r="H46" s="73">
        <f t="shared" si="0"/>
        <v>3.286409586253582</v>
      </c>
      <c r="I46" s="73">
        <v>70.8423981092064</v>
      </c>
      <c r="J46" s="75">
        <v>1.8698011585068201E-5</v>
      </c>
      <c r="K46" s="74">
        <v>59572</v>
      </c>
      <c r="L46" s="73">
        <v>327.68208435112899</v>
      </c>
      <c r="M46" s="71">
        <v>99.776293077530994</v>
      </c>
      <c r="N46" s="73">
        <v>3.27682084351129</v>
      </c>
      <c r="O46" s="71">
        <f t="shared" si="1"/>
        <v>-0.29176955856019615</v>
      </c>
      <c r="Q46" s="97">
        <f t="shared" si="2"/>
        <v>19.812789281274998</v>
      </c>
      <c r="R46" s="97">
        <f t="shared" si="3"/>
        <v>61.247390687224545</v>
      </c>
      <c r="S46" s="67">
        <v>70.843949773351994</v>
      </c>
      <c r="T46" s="67">
        <v>362.00010552766997</v>
      </c>
      <c r="U46" s="67">
        <v>1.5157674249549999</v>
      </c>
      <c r="V46" s="67">
        <v>92.97</v>
      </c>
      <c r="W46" s="67">
        <v>44.7</v>
      </c>
      <c r="X46" s="67">
        <f t="shared" si="4"/>
        <v>2.2350000000000002E-2</v>
      </c>
      <c r="Y46" s="67">
        <v>1</v>
      </c>
      <c r="Z46" s="67">
        <f t="shared" si="5"/>
        <v>0.99935006382798763</v>
      </c>
      <c r="AA46" s="67">
        <f t="shared" si="6"/>
        <v>1.0045013556746583</v>
      </c>
      <c r="AB46" s="67">
        <f t="shared" si="7"/>
        <v>3.2894316685676732</v>
      </c>
      <c r="AC46" s="67">
        <f t="shared" si="8"/>
        <v>9.1956958947903733E-2</v>
      </c>
      <c r="AD46" s="76">
        <f t="shared" si="9"/>
        <v>3.286409586253582</v>
      </c>
      <c r="AE46" s="200">
        <f>AVERAGE(AD46:AD48)</f>
        <v>3.2860195656449172</v>
      </c>
      <c r="AF46" s="200">
        <f>AVERAGE(AC46:AC48)</f>
        <v>9.5243858160681094E-2</v>
      </c>
      <c r="AG46" s="200">
        <f>STDEV(AC46:AC48)</f>
        <v>4.1477758506350947E-3</v>
      </c>
      <c r="AH46" s="200">
        <f>AG46*4.303/SQRT(2)</f>
        <v>1.2620356613843742E-2</v>
      </c>
      <c r="AI46" s="200">
        <v>0.25</v>
      </c>
      <c r="AJ46" s="200">
        <f>SQRT(AI46^2+AH46^2)</f>
        <v>0.2503183441161686</v>
      </c>
      <c r="AK46" s="76"/>
      <c r="AL46" s="76"/>
      <c r="AM46" s="95">
        <f t="shared" si="28"/>
        <v>3.2915709796100678</v>
      </c>
      <c r="AN46" s="95">
        <f t="shared" si="29"/>
        <v>0.15705265034750729</v>
      </c>
      <c r="AO46" s="76">
        <f t="shared" si="30"/>
        <v>3.286409586253582</v>
      </c>
      <c r="AP46" s="200">
        <f>AVERAGE(AO46:AO48)</f>
        <v>3.2860195656449172</v>
      </c>
      <c r="AQ46" s="200">
        <f>AVERAGE(AN46:AN48)</f>
        <v>0.16034732352752754</v>
      </c>
      <c r="AR46" s="200">
        <f>STDEV(AN46:AN48)</f>
        <v>4.1575785911179162E-3</v>
      </c>
      <c r="AS46" s="200">
        <f>AR46*4.303/SQRT(2)</f>
        <v>1.2650183220955897E-2</v>
      </c>
      <c r="AT46" s="200">
        <v>0.25</v>
      </c>
      <c r="AU46" s="200">
        <f>SQRT(AT46^2+AS46^2)</f>
        <v>0.25031984966343312</v>
      </c>
      <c r="AW46" s="71">
        <v>19.772539982885998</v>
      </c>
      <c r="AX46" s="71">
        <v>60.197905829634301</v>
      </c>
      <c r="AY46" s="73">
        <v>167.04946064168999</v>
      </c>
      <c r="AZ46" s="73">
        <v>70.775468950489199</v>
      </c>
      <c r="BA46" s="75">
        <v>1.8694781718565799E-5</v>
      </c>
      <c r="BB46" s="74">
        <v>48918</v>
      </c>
      <c r="BC46" s="73">
        <v>269.07863093883901</v>
      </c>
      <c r="BD46" s="146">
        <f t="shared" si="10"/>
        <v>1467675.6385393234</v>
      </c>
      <c r="BE46" s="145">
        <v>5798.78</v>
      </c>
      <c r="BF46" s="144">
        <f t="shared" si="11"/>
        <v>167.04946064169025</v>
      </c>
      <c r="BG46" s="68">
        <f t="shared" si="12"/>
        <v>0.16663008558170592</v>
      </c>
      <c r="BH46" s="140">
        <f t="shared" si="13"/>
        <v>7.6353785521177345E-2</v>
      </c>
      <c r="BI46" s="140">
        <f t="shared" si="14"/>
        <v>-5.8265174034763979E-3</v>
      </c>
      <c r="BJ46" s="141">
        <f t="shared" si="15"/>
        <v>-2.298365227498917E-3</v>
      </c>
      <c r="BK46" s="140">
        <f t="shared" si="16"/>
        <v>6.8228902890202031E-2</v>
      </c>
      <c r="BL46" s="143">
        <f t="shared" si="17"/>
        <v>5794.8235560249832</v>
      </c>
      <c r="BM46" s="71">
        <f t="shared" si="18"/>
        <v>167.16351447364829</v>
      </c>
      <c r="BN46" s="142">
        <f t="shared" si="19"/>
        <v>1468677.7012218598</v>
      </c>
      <c r="BO46" s="68">
        <f t="shared" si="20"/>
        <v>0.16692650107404317</v>
      </c>
      <c r="BP46" s="140">
        <f t="shared" si="21"/>
        <v>7.6337188587922461E-2</v>
      </c>
      <c r="BQ46" s="140">
        <f t="shared" si="22"/>
        <v>-5.8220158388220698E-3</v>
      </c>
      <c r="BR46" s="141">
        <f t="shared" si="23"/>
        <v>-2.2999344475396668E-3</v>
      </c>
      <c r="BS46" s="140">
        <f t="shared" si="24"/>
        <v>6.8215238301560732E-2</v>
      </c>
      <c r="BT46" s="71">
        <f t="shared" si="25"/>
        <v>5794.8243484044169</v>
      </c>
      <c r="BU46" s="69">
        <f t="shared" si="26"/>
        <v>167.16349161584918</v>
      </c>
      <c r="BV46" s="68">
        <f t="shared" si="27"/>
        <v>3.286409586253582</v>
      </c>
    </row>
    <row r="47" spans="2:74" x14ac:dyDescent="0.25">
      <c r="B47" s="99">
        <v>50</v>
      </c>
      <c r="C47" s="98">
        <v>45237.715196759302</v>
      </c>
      <c r="D47" s="73">
        <v>181.81314</v>
      </c>
      <c r="E47" s="73">
        <v>0.98180924999999997</v>
      </c>
      <c r="F47" s="71">
        <v>19.80233384288</v>
      </c>
      <c r="G47" s="71">
        <v>60.257598048491502</v>
      </c>
      <c r="H47" s="73">
        <f t="shared" si="0"/>
        <v>3.285577388106677</v>
      </c>
      <c r="I47" s="73">
        <v>70.836086610411101</v>
      </c>
      <c r="J47" s="75">
        <v>1.8697397474987901E-5</v>
      </c>
      <c r="K47" s="74">
        <v>59563</v>
      </c>
      <c r="L47" s="73">
        <v>327.60558450285799</v>
      </c>
      <c r="M47" s="71">
        <v>99.778269594935907</v>
      </c>
      <c r="N47" s="73">
        <v>3.2760558450285799</v>
      </c>
      <c r="O47" s="71">
        <f t="shared" si="1"/>
        <v>-0.28979816797387525</v>
      </c>
      <c r="Q47" s="97">
        <f t="shared" si="2"/>
        <v>19.80233384288</v>
      </c>
      <c r="R47" s="97">
        <f t="shared" si="3"/>
        <v>61.2394072984915</v>
      </c>
      <c r="S47" s="67">
        <v>70.837638450095</v>
      </c>
      <c r="T47" s="67">
        <v>361.99095445547999</v>
      </c>
      <c r="U47" s="67">
        <v>1.5157533350600001</v>
      </c>
      <c r="V47" s="67">
        <v>92.97</v>
      </c>
      <c r="W47" s="67">
        <v>44.7</v>
      </c>
      <c r="X47" s="67">
        <f t="shared" si="4"/>
        <v>2.2350000000000002E-2</v>
      </c>
      <c r="Y47" s="67">
        <v>1</v>
      </c>
      <c r="Z47" s="67">
        <f t="shared" si="5"/>
        <v>0.99935003098837039</v>
      </c>
      <c r="AA47" s="67">
        <f t="shared" si="6"/>
        <v>1.0045007317651848</v>
      </c>
      <c r="AB47" s="67">
        <f t="shared" si="7"/>
        <v>3.2886615752905017</v>
      </c>
      <c r="AC47" s="67">
        <f t="shared" si="8"/>
        <v>9.3870477529735513E-2</v>
      </c>
      <c r="AD47" s="76">
        <f t="shared" si="9"/>
        <v>3.285577388106677</v>
      </c>
      <c r="AE47" s="208"/>
      <c r="AF47" s="208"/>
      <c r="AG47" s="200"/>
      <c r="AH47" s="200"/>
      <c r="AI47" s="200"/>
      <c r="AJ47" s="200"/>
      <c r="AK47" s="76"/>
      <c r="AL47" s="76"/>
      <c r="AM47" s="95">
        <f t="shared" si="28"/>
        <v>3.2908004936348196</v>
      </c>
      <c r="AN47" s="95">
        <f t="shared" si="29"/>
        <v>0.15897070472451952</v>
      </c>
      <c r="AO47" s="76">
        <f t="shared" si="30"/>
        <v>3.285577388106677</v>
      </c>
      <c r="AP47" s="208"/>
      <c r="AQ47" s="208"/>
      <c r="AR47" s="200"/>
      <c r="AS47" s="200"/>
      <c r="AT47" s="200"/>
      <c r="AU47" s="200"/>
      <c r="AW47" s="71">
        <v>19.75738582648</v>
      </c>
      <c r="AX47" s="71">
        <v>60.190013105159998</v>
      </c>
      <c r="AY47" s="73">
        <v>167.018624024887</v>
      </c>
      <c r="AZ47" s="73">
        <v>70.770608165830893</v>
      </c>
      <c r="BA47" s="75">
        <v>1.8693978702204398E-5</v>
      </c>
      <c r="BB47" s="74">
        <v>48913</v>
      </c>
      <c r="BC47" s="73">
        <v>269.02896017306603</v>
      </c>
      <c r="BD47" s="146">
        <f t="shared" si="10"/>
        <v>1467366.9614123525</v>
      </c>
      <c r="BE47" s="145">
        <v>5798.78</v>
      </c>
      <c r="BF47" s="144">
        <f t="shared" si="11"/>
        <v>167.0186240248876</v>
      </c>
      <c r="BG47" s="68">
        <f t="shared" si="12"/>
        <v>0.16653873646573086</v>
      </c>
      <c r="BH47" s="140">
        <f t="shared" si="13"/>
        <v>7.6358895662194018E-2</v>
      </c>
      <c r="BI47" s="140">
        <f t="shared" si="14"/>
        <v>-5.8281359364601264E-3</v>
      </c>
      <c r="BJ47" s="141">
        <f t="shared" si="15"/>
        <v>-2.2980778505953688E-3</v>
      </c>
      <c r="BK47" s="140">
        <f t="shared" si="16"/>
        <v>6.8232681875138521E-2</v>
      </c>
      <c r="BL47" s="143">
        <f t="shared" si="17"/>
        <v>5794.823336889961</v>
      </c>
      <c r="BM47" s="71">
        <f t="shared" si="18"/>
        <v>167.13266312322591</v>
      </c>
      <c r="BN47" s="142">
        <f t="shared" si="19"/>
        <v>1468368.8688714032</v>
      </c>
      <c r="BO47" s="68">
        <f t="shared" si="20"/>
        <v>0.16683516838119686</v>
      </c>
      <c r="BP47" s="140">
        <f t="shared" si="21"/>
        <v>7.6342304979457543E-2</v>
      </c>
      <c r="BQ47" s="140">
        <f t="shared" si="22"/>
        <v>-5.8236327876417526E-3</v>
      </c>
      <c r="BR47" s="141">
        <f t="shared" si="23"/>
        <v>-2.2996469613907858E-3</v>
      </c>
      <c r="BS47" s="140">
        <f t="shared" si="24"/>
        <v>6.8219025230425001E-2</v>
      </c>
      <c r="BT47" s="71">
        <f t="shared" si="25"/>
        <v>5794.8241288087429</v>
      </c>
      <c r="BU47" s="69">
        <f t="shared" si="26"/>
        <v>167.13264028293048</v>
      </c>
      <c r="BV47" s="68">
        <f t="shared" si="27"/>
        <v>3.285577388106677</v>
      </c>
    </row>
    <row r="48" spans="2:74" x14ac:dyDescent="0.25">
      <c r="B48" s="99">
        <v>51</v>
      </c>
      <c r="C48" s="98">
        <v>45237.717905092599</v>
      </c>
      <c r="D48" s="73">
        <v>181.78989999999999</v>
      </c>
      <c r="E48" s="73">
        <v>0.98182359668508401</v>
      </c>
      <c r="F48" s="71">
        <v>19.763856086002999</v>
      </c>
      <c r="G48" s="71">
        <v>60.245353710395797</v>
      </c>
      <c r="H48" s="73">
        <f t="shared" si="0"/>
        <v>3.2860717225744933</v>
      </c>
      <c r="I48" s="73">
        <v>70.832619678794899</v>
      </c>
      <c r="J48" s="75">
        <v>1.8695538775374398E-5</v>
      </c>
      <c r="K48" s="74">
        <v>59568</v>
      </c>
      <c r="L48" s="73">
        <v>327.674969841559</v>
      </c>
      <c r="M48" s="71">
        <v>99.784384548910296</v>
      </c>
      <c r="N48" s="73">
        <v>3.2767496984155899</v>
      </c>
      <c r="O48" s="71">
        <f t="shared" si="1"/>
        <v>-0.28368291826570285</v>
      </c>
      <c r="Q48" s="97">
        <f t="shared" si="2"/>
        <v>19.763856086002999</v>
      </c>
      <c r="R48" s="97">
        <f t="shared" si="3"/>
        <v>61.227177307080879</v>
      </c>
      <c r="S48" s="67">
        <v>70.834171931032998</v>
      </c>
      <c r="T48" s="67">
        <v>361.962250458293</v>
      </c>
      <c r="U48" s="67">
        <v>1.515741504083</v>
      </c>
      <c r="V48" s="67">
        <v>92.97</v>
      </c>
      <c r="W48" s="67">
        <v>44.7</v>
      </c>
      <c r="X48" s="67">
        <f t="shared" si="4"/>
        <v>2.2350000000000002E-2</v>
      </c>
      <c r="Y48" s="67">
        <v>1</v>
      </c>
      <c r="Z48" s="67">
        <f t="shared" si="5"/>
        <v>0.99934992796481081</v>
      </c>
      <c r="AA48" s="67">
        <f t="shared" si="6"/>
        <v>1.0044997804462481</v>
      </c>
      <c r="AB48" s="67">
        <f t="shared" si="7"/>
        <v>3.2893546442031378</v>
      </c>
      <c r="AC48" s="67">
        <f t="shared" si="8"/>
        <v>9.990413800440405E-2</v>
      </c>
      <c r="AD48" s="76">
        <f t="shared" si="9"/>
        <v>3.2860717225744933</v>
      </c>
      <c r="AE48" s="208"/>
      <c r="AF48" s="208"/>
      <c r="AG48" s="200"/>
      <c r="AH48" s="200"/>
      <c r="AI48" s="200"/>
      <c r="AJ48" s="200"/>
      <c r="AK48" s="76"/>
      <c r="AL48" s="76"/>
      <c r="AM48" s="95">
        <f t="shared" si="28"/>
        <v>3.2914943526357696</v>
      </c>
      <c r="AN48" s="95">
        <f t="shared" si="29"/>
        <v>0.1650186155105558</v>
      </c>
      <c r="AO48" s="76">
        <f t="shared" si="30"/>
        <v>3.2860717225744933</v>
      </c>
      <c r="AP48" s="208"/>
      <c r="AQ48" s="208"/>
      <c r="AR48" s="200"/>
      <c r="AS48" s="200"/>
      <c r="AT48" s="200"/>
      <c r="AU48" s="200"/>
      <c r="AW48" s="71">
        <v>19.7432437668811</v>
      </c>
      <c r="AX48" s="71">
        <v>60.177963278908202</v>
      </c>
      <c r="AY48" s="73">
        <v>167.06729600696301</v>
      </c>
      <c r="AZ48" s="73">
        <v>70.760638374377393</v>
      </c>
      <c r="BA48" s="75">
        <v>1.8693118981407201E-5</v>
      </c>
      <c r="BB48" s="74">
        <v>48921</v>
      </c>
      <c r="BC48" s="73">
        <v>269.10735964979398</v>
      </c>
      <c r="BD48" s="146">
        <f t="shared" si="10"/>
        <v>1467655.2974287155</v>
      </c>
      <c r="BE48" s="145">
        <v>5798.78</v>
      </c>
      <c r="BF48" s="144">
        <f t="shared" si="11"/>
        <v>167.06729600696326</v>
      </c>
      <c r="BG48" s="68">
        <f t="shared" si="12"/>
        <v>0.16662406647702196</v>
      </c>
      <c r="BH48" s="140">
        <f t="shared" si="13"/>
        <v>7.635412230260992E-2</v>
      </c>
      <c r="BI48" s="140">
        <f t="shared" si="14"/>
        <v>-5.8270340308030312E-3</v>
      </c>
      <c r="BJ48" s="141">
        <f t="shared" si="15"/>
        <v>-2.2988760138930682E-3</v>
      </c>
      <c r="BK48" s="140">
        <f t="shared" si="16"/>
        <v>6.8228212257913812E-2</v>
      </c>
      <c r="BL48" s="143">
        <f t="shared" si="17"/>
        <v>5794.82359607323</v>
      </c>
      <c r="BM48" s="71">
        <f t="shared" si="18"/>
        <v>167.18136086070697</v>
      </c>
      <c r="BN48" s="142">
        <f t="shared" si="19"/>
        <v>1468657.3360733129</v>
      </c>
      <c r="BO48" s="68">
        <f t="shared" si="20"/>
        <v>0.16692047896793344</v>
      </c>
      <c r="BP48" s="140">
        <f t="shared" si="21"/>
        <v>7.6337526009979811E-2</v>
      </c>
      <c r="BQ48" s="140">
        <f t="shared" si="22"/>
        <v>-5.8225321613074969E-3</v>
      </c>
      <c r="BR48" s="141">
        <f t="shared" si="23"/>
        <v>-2.3004455667772466E-3</v>
      </c>
      <c r="BS48" s="140">
        <f t="shared" si="24"/>
        <v>6.8214548281895063E-2</v>
      </c>
      <c r="BT48" s="71">
        <f t="shared" si="25"/>
        <v>5794.8243884171388</v>
      </c>
      <c r="BU48" s="69">
        <f t="shared" si="26"/>
        <v>167.18133800149261</v>
      </c>
      <c r="BV48" s="68">
        <f t="shared" si="27"/>
        <v>3.2860717225744933</v>
      </c>
    </row>
    <row r="49" spans="1:74" x14ac:dyDescent="0.25">
      <c r="B49" s="99">
        <v>52</v>
      </c>
      <c r="C49" s="98">
        <v>45237.723634259302</v>
      </c>
      <c r="D49" s="73">
        <v>181.78958</v>
      </c>
      <c r="E49" s="73">
        <v>0.981820237569063</v>
      </c>
      <c r="F49" s="71">
        <v>19.769773136201</v>
      </c>
      <c r="G49" s="71">
        <v>60.2257915421946</v>
      </c>
      <c r="H49" s="73">
        <f t="shared" si="0"/>
        <v>1.6125151075327007</v>
      </c>
      <c r="I49" s="73">
        <v>70.808436831126002</v>
      </c>
      <c r="J49" s="75">
        <v>1.8695322610372701E-5</v>
      </c>
      <c r="K49" s="74">
        <v>29222</v>
      </c>
      <c r="L49" s="73">
        <v>160.74628699840801</v>
      </c>
      <c r="M49" s="71">
        <v>99.753596393143695</v>
      </c>
      <c r="N49" s="73">
        <v>1.6074628699840801</v>
      </c>
      <c r="O49" s="71">
        <f t="shared" si="1"/>
        <v>-0.3133141218348649</v>
      </c>
      <c r="Q49" s="97">
        <f t="shared" si="2"/>
        <v>19.769773136201</v>
      </c>
      <c r="R49" s="97">
        <f t="shared" si="3"/>
        <v>61.20761177976366</v>
      </c>
      <c r="S49" s="67">
        <v>70.809989314915001</v>
      </c>
      <c r="T49" s="67">
        <v>361.96044524247498</v>
      </c>
      <c r="U49" s="67">
        <v>1.5156932691080001</v>
      </c>
      <c r="V49" s="67">
        <v>92.97</v>
      </c>
      <c r="W49" s="67">
        <v>44.7</v>
      </c>
      <c r="X49" s="67">
        <f t="shared" si="4"/>
        <v>2.2350000000000002E-2</v>
      </c>
      <c r="Y49" s="67">
        <v>1</v>
      </c>
      <c r="Z49" s="67">
        <f t="shared" si="5"/>
        <v>0.99934992148476365</v>
      </c>
      <c r="AA49" s="67">
        <f t="shared" si="6"/>
        <v>1.0044982605751758</v>
      </c>
      <c r="AB49" s="67">
        <f t="shared" si="7"/>
        <v>1.6136439791831896</v>
      </c>
      <c r="AC49" s="67">
        <f t="shared" si="8"/>
        <v>7.0006888320953212E-2</v>
      </c>
      <c r="AD49" s="76">
        <f t="shared" si="9"/>
        <v>1.6125151075327007</v>
      </c>
      <c r="AE49" s="200">
        <f>AVERAGE(AD49:AD53)</f>
        <v>1.6118299667241061</v>
      </c>
      <c r="AF49" s="200">
        <f>AVERAGE(AC49:AC53)</f>
        <v>7.5806177436944913E-2</v>
      </c>
      <c r="AG49" s="200">
        <f>STDEV(AC49:AC53)</f>
        <v>1.6202716543828623E-2</v>
      </c>
      <c r="AH49" s="200">
        <f>AG49*2.776/SQRT(2)</f>
        <v>3.1804772859194266E-2</v>
      </c>
      <c r="AI49" s="200">
        <v>0.25</v>
      </c>
      <c r="AJ49" s="200">
        <f>SQRT(AI49^2+AH49^2)</f>
        <v>0.25201496696947373</v>
      </c>
      <c r="AK49" s="76"/>
      <c r="AL49" s="76"/>
      <c r="AM49" s="95">
        <f t="shared" si="28"/>
        <v>1.6146936568381884</v>
      </c>
      <c r="AN49" s="95">
        <f t="shared" si="29"/>
        <v>0.13510256712082286</v>
      </c>
      <c r="AO49" s="76">
        <f t="shared" si="30"/>
        <v>1.6125151075327007</v>
      </c>
      <c r="AP49" s="200">
        <f>AVERAGE(AO49:AO53)</f>
        <v>1.6118299667241061</v>
      </c>
      <c r="AQ49" s="200">
        <f>AVERAGE(AN49:AN53)</f>
        <v>0.14091642473648444</v>
      </c>
      <c r="AR49" s="200">
        <f>STDEV(AN49:AN53)</f>
        <v>1.6212960329039752E-2</v>
      </c>
      <c r="AS49" s="200">
        <f>AR49*2.776/SQRT(2)</f>
        <v>3.1824880676360419E-2</v>
      </c>
      <c r="AT49" s="200">
        <v>0.25</v>
      </c>
      <c r="AU49" s="200">
        <f>SQRT(AT49^2+AS49^2)</f>
        <v>0.25201750540401868</v>
      </c>
      <c r="AW49" s="71">
        <v>19.730398951472001</v>
      </c>
      <c r="AX49" s="71">
        <v>60.221870003206199</v>
      </c>
      <c r="AY49" s="73">
        <v>81.920184606179305</v>
      </c>
      <c r="AZ49" s="73">
        <v>70.814789160829704</v>
      </c>
      <c r="BA49" s="75">
        <v>1.8693621589999099E-5</v>
      </c>
      <c r="BB49" s="74">
        <v>23988</v>
      </c>
      <c r="BC49" s="73">
        <v>131.95475780295001</v>
      </c>
      <c r="BD49" s="146">
        <f t="shared" si="10"/>
        <v>720185.03455210675</v>
      </c>
      <c r="BE49" s="145">
        <v>5798.78</v>
      </c>
      <c r="BF49" s="144">
        <f t="shared" si="11"/>
        <v>81.920184606179248</v>
      </c>
      <c r="BG49" s="68">
        <f t="shared" si="12"/>
        <v>-0.14255590751203659</v>
      </c>
      <c r="BH49" s="140">
        <f t="shared" si="13"/>
        <v>8.1697261925208486E-2</v>
      </c>
      <c r="BI49" s="140">
        <f t="shared" si="14"/>
        <v>-1.3509149768892986E-2</v>
      </c>
      <c r="BJ49" s="141">
        <f t="shared" si="15"/>
        <v>-1.127289876040214E-3</v>
      </c>
      <c r="BK49" s="140">
        <f t="shared" si="16"/>
        <v>6.7060822280275281E-2</v>
      </c>
      <c r="BL49" s="143">
        <f t="shared" si="17"/>
        <v>5794.8912904497756</v>
      </c>
      <c r="BM49" s="71">
        <f t="shared" si="18"/>
        <v>81.975157821079605</v>
      </c>
      <c r="BN49" s="142">
        <f t="shared" si="19"/>
        <v>720668.32065385056</v>
      </c>
      <c r="BO49" s="68">
        <f t="shared" si="20"/>
        <v>-0.14226456836321807</v>
      </c>
      <c r="BP49" s="140">
        <f t="shared" si="21"/>
        <v>8.1701779511439115E-2</v>
      </c>
      <c r="BQ49" s="140">
        <f t="shared" si="22"/>
        <v>-1.349794100833024E-2</v>
      </c>
      <c r="BR49" s="141">
        <f t="shared" si="23"/>
        <v>-1.1280463532003723E-3</v>
      </c>
      <c r="BS49" s="140">
        <f t="shared" si="24"/>
        <v>6.7075792149908497E-2</v>
      </c>
      <c r="BT49" s="71">
        <f t="shared" si="25"/>
        <v>5794.8904223799691</v>
      </c>
      <c r="BU49" s="69">
        <f t="shared" si="26"/>
        <v>81.975170100890651</v>
      </c>
      <c r="BV49" s="68">
        <f t="shared" si="27"/>
        <v>1.6125151075327007</v>
      </c>
    </row>
    <row r="50" spans="1:74" x14ac:dyDescent="0.25">
      <c r="B50" s="99">
        <v>53</v>
      </c>
      <c r="C50" s="98">
        <v>45237.726585648103</v>
      </c>
      <c r="D50" s="73">
        <v>181.75116</v>
      </c>
      <c r="E50" s="73">
        <v>0.98179655801105103</v>
      </c>
      <c r="F50" s="71">
        <v>19.760563193393001</v>
      </c>
      <c r="G50" s="71">
        <v>60.223445656249801</v>
      </c>
      <c r="H50" s="73">
        <f t="shared" si="0"/>
        <v>1.6128877254718952</v>
      </c>
      <c r="I50" s="73">
        <v>70.808248706870799</v>
      </c>
      <c r="J50" s="75">
        <v>1.8694890739936299E-5</v>
      </c>
      <c r="K50" s="74">
        <v>29229</v>
      </c>
      <c r="L50" s="73">
        <v>160.818781019059</v>
      </c>
      <c r="M50" s="71">
        <v>99.775533016345605</v>
      </c>
      <c r="N50" s="73">
        <v>1.60818781019059</v>
      </c>
      <c r="O50" s="71">
        <f t="shared" si="1"/>
        <v>-0.29139754783180022</v>
      </c>
      <c r="Q50" s="97">
        <f t="shared" si="2"/>
        <v>19.760563193393001</v>
      </c>
      <c r="R50" s="97">
        <f t="shared" si="3"/>
        <v>61.205242214260849</v>
      </c>
      <c r="S50" s="67">
        <v>70.809801282383006</v>
      </c>
      <c r="T50" s="67">
        <v>361.95373641554301</v>
      </c>
      <c r="U50" s="67">
        <v>1.5156917369439999</v>
      </c>
      <c r="V50" s="67">
        <v>92.97</v>
      </c>
      <c r="W50" s="67">
        <v>44.7</v>
      </c>
      <c r="X50" s="67">
        <f t="shared" si="4"/>
        <v>2.2350000000000002E-2</v>
      </c>
      <c r="Y50" s="67">
        <v>1</v>
      </c>
      <c r="Z50" s="67">
        <f t="shared" si="5"/>
        <v>0.9993498974017444</v>
      </c>
      <c r="AA50" s="67">
        <f t="shared" si="6"/>
        <v>1.0044980783132655</v>
      </c>
      <c r="AB50" s="67">
        <f t="shared" si="7"/>
        <v>1.6143713751466446</v>
      </c>
      <c r="AC50" s="67">
        <f t="shared" si="8"/>
        <v>9.1987163850191206E-2</v>
      </c>
      <c r="AD50" s="76">
        <f t="shared" si="9"/>
        <v>1.6128877254718952</v>
      </c>
      <c r="AE50" s="200"/>
      <c r="AF50" s="200"/>
      <c r="AG50" s="200"/>
      <c r="AH50" s="200"/>
      <c r="AI50" s="200"/>
      <c r="AJ50" s="200"/>
      <c r="AK50" s="76"/>
      <c r="AL50" s="76"/>
      <c r="AM50" s="95">
        <f t="shared" si="28"/>
        <v>1.6154215649032664</v>
      </c>
      <c r="AN50" s="95">
        <f t="shared" si="29"/>
        <v>0.15709955450431948</v>
      </c>
      <c r="AO50" s="76">
        <f t="shared" si="30"/>
        <v>1.6128877254718952</v>
      </c>
      <c r="AP50" s="200"/>
      <c r="AQ50" s="200"/>
      <c r="AR50" s="200"/>
      <c r="AS50" s="200"/>
      <c r="AT50" s="200"/>
      <c r="AU50" s="200"/>
      <c r="AW50" s="71">
        <v>19.701494167332999</v>
      </c>
      <c r="AX50" s="71">
        <v>60.218735446633801</v>
      </c>
      <c r="AY50" s="73">
        <v>81.934085773308198</v>
      </c>
      <c r="AZ50" s="73">
        <v>70.819131750572495</v>
      </c>
      <c r="BA50" s="75">
        <v>1.8692366281169701E-5</v>
      </c>
      <c r="BB50" s="74">
        <v>23987</v>
      </c>
      <c r="BC50" s="73">
        <v>131.97714941681801</v>
      </c>
      <c r="BD50" s="146">
        <f t="shared" si="10"/>
        <v>720399.79153474781</v>
      </c>
      <c r="BE50" s="145">
        <v>5798.78</v>
      </c>
      <c r="BF50" s="144">
        <f t="shared" si="11"/>
        <v>81.934085773308325</v>
      </c>
      <c r="BG50" s="68">
        <f t="shared" si="12"/>
        <v>-0.14242642152618809</v>
      </c>
      <c r="BH50" s="140">
        <f t="shared" si="13"/>
        <v>8.1699271355686595E-2</v>
      </c>
      <c r="BI50" s="140">
        <f t="shared" si="14"/>
        <v>-1.3505485498146393E-2</v>
      </c>
      <c r="BJ50" s="141">
        <f t="shared" si="15"/>
        <v>-1.1276084953338354E-3</v>
      </c>
      <c r="BK50" s="140">
        <f t="shared" si="16"/>
        <v>6.7066177362206367E-2</v>
      </c>
      <c r="BL50" s="143">
        <f t="shared" si="17"/>
        <v>5794.8909799203557</v>
      </c>
      <c r="BM50" s="71">
        <f t="shared" si="18"/>
        <v>81.989072710229792</v>
      </c>
      <c r="BN50" s="142">
        <f t="shared" si="19"/>
        <v>720883.2603807291</v>
      </c>
      <c r="BO50" s="68">
        <f t="shared" si="20"/>
        <v>-0.1421350591049369</v>
      </c>
      <c r="BP50" s="140">
        <f t="shared" si="21"/>
        <v>8.170378359499593E-2</v>
      </c>
      <c r="BQ50" s="140">
        <f t="shared" si="22"/>
        <v>-1.3494279161233694E-2</v>
      </c>
      <c r="BR50" s="141">
        <f t="shared" si="23"/>
        <v>-1.1283652467715287E-3</v>
      </c>
      <c r="BS50" s="140">
        <f t="shared" si="24"/>
        <v>6.7081139186990713E-2</v>
      </c>
      <c r="BT50" s="71">
        <f t="shared" si="25"/>
        <v>5794.8901123170526</v>
      </c>
      <c r="BU50" s="69">
        <f t="shared" si="26"/>
        <v>81.989084985525594</v>
      </c>
      <c r="BV50" s="68">
        <f t="shared" si="27"/>
        <v>1.6128877254718952</v>
      </c>
    </row>
    <row r="51" spans="1:74" x14ac:dyDescent="0.25">
      <c r="B51" s="99">
        <v>54</v>
      </c>
      <c r="C51" s="98">
        <v>45237.729189814803</v>
      </c>
      <c r="D51" s="73">
        <v>181.77545000000001</v>
      </c>
      <c r="E51" s="73">
        <v>0.98181599444444501</v>
      </c>
      <c r="F51" s="71">
        <v>19.701821022090002</v>
      </c>
      <c r="G51" s="71">
        <v>60.204148454241597</v>
      </c>
      <c r="H51" s="73">
        <f t="shared" si="0"/>
        <v>1.6118070272855913</v>
      </c>
      <c r="I51" s="73">
        <v>70.802247768354803</v>
      </c>
      <c r="J51" s="75">
        <v>1.8692038568752599E-5</v>
      </c>
      <c r="K51" s="74">
        <v>29204</v>
      </c>
      <c r="L51" s="73">
        <v>160.65975905987301</v>
      </c>
      <c r="M51" s="71">
        <v>99.743690371852296</v>
      </c>
      <c r="N51" s="73">
        <v>1.60659759059873</v>
      </c>
      <c r="O51" s="71">
        <f t="shared" si="1"/>
        <v>-0.32320473845026315</v>
      </c>
      <c r="Q51" s="97">
        <f t="shared" si="2"/>
        <v>19.701821022090002</v>
      </c>
      <c r="R51" s="97">
        <f t="shared" si="3"/>
        <v>61.185964448686043</v>
      </c>
      <c r="S51" s="67">
        <v>70.803800991987003</v>
      </c>
      <c r="T51" s="67">
        <v>361.90973622615201</v>
      </c>
      <c r="U51" s="67">
        <v>1.5156722396060001</v>
      </c>
      <c r="V51" s="67">
        <v>92.97</v>
      </c>
      <c r="W51" s="67">
        <v>44.7</v>
      </c>
      <c r="X51" s="67">
        <f t="shared" si="4"/>
        <v>2.2350000000000002E-2</v>
      </c>
      <c r="Y51" s="67">
        <v>1</v>
      </c>
      <c r="Z51" s="67">
        <f t="shared" si="5"/>
        <v>0.99934973941884542</v>
      </c>
      <c r="AA51" s="67">
        <f t="shared" si="6"/>
        <v>1.0044965790336351</v>
      </c>
      <c r="AB51" s="67">
        <f t="shared" si="7"/>
        <v>1.6127723789491952</v>
      </c>
      <c r="AC51" s="67">
        <f t="shared" si="8"/>
        <v>5.9892508672680547E-2</v>
      </c>
      <c r="AD51" s="76">
        <f t="shared" si="9"/>
        <v>1.6118070272855913</v>
      </c>
      <c r="AE51" s="200"/>
      <c r="AF51" s="200"/>
      <c r="AG51" s="200"/>
      <c r="AH51" s="200"/>
      <c r="AI51" s="200"/>
      <c r="AJ51" s="200"/>
      <c r="AK51" s="76"/>
      <c r="AL51" s="76"/>
      <c r="AM51" s="95">
        <f t="shared" si="28"/>
        <v>1.613821783640105</v>
      </c>
      <c r="AN51" s="95">
        <f t="shared" si="29"/>
        <v>0.12499984926276526</v>
      </c>
      <c r="AO51" s="76">
        <f t="shared" si="30"/>
        <v>1.6118070272855913</v>
      </c>
      <c r="AP51" s="200"/>
      <c r="AQ51" s="200"/>
      <c r="AR51" s="200"/>
      <c r="AS51" s="200"/>
      <c r="AT51" s="200"/>
      <c r="AU51" s="200"/>
      <c r="AW51" s="71">
        <v>19.695315765779998</v>
      </c>
      <c r="AX51" s="71">
        <v>60.199649595171799</v>
      </c>
      <c r="AY51" s="73">
        <v>81.902645331860199</v>
      </c>
      <c r="AZ51" s="73">
        <v>70.798857691994002</v>
      </c>
      <c r="BA51" s="75">
        <v>1.86916673467103E-5</v>
      </c>
      <c r="BB51" s="74">
        <v>23981</v>
      </c>
      <c r="BC51" s="73">
        <v>131.926506027079</v>
      </c>
      <c r="BD51" s="146">
        <f t="shared" si="10"/>
        <v>719944.11688836105</v>
      </c>
      <c r="BE51" s="145">
        <v>5798.78</v>
      </c>
      <c r="BF51" s="144">
        <f t="shared" si="11"/>
        <v>81.902645331860228</v>
      </c>
      <c r="BG51" s="68">
        <f t="shared" si="12"/>
        <v>-0.14270121283111739</v>
      </c>
      <c r="BH51" s="140">
        <f t="shared" si="13"/>
        <v>8.1695003985520903E-2</v>
      </c>
      <c r="BI51" s="140">
        <f t="shared" si="14"/>
        <v>-1.3515770405675379E-2</v>
      </c>
      <c r="BJ51" s="141">
        <f t="shared" si="15"/>
        <v>-1.127204281883658E-3</v>
      </c>
      <c r="BK51" s="140">
        <f t="shared" si="16"/>
        <v>6.7052029297961863E-2</v>
      </c>
      <c r="BL51" s="143">
        <f t="shared" si="17"/>
        <v>5794.8918003354756</v>
      </c>
      <c r="BM51" s="71">
        <f t="shared" si="18"/>
        <v>81.957599565532803</v>
      </c>
      <c r="BN51" s="142">
        <f t="shared" si="19"/>
        <v>720427.17793077766</v>
      </c>
      <c r="BO51" s="68">
        <f t="shared" si="20"/>
        <v>-0.14240991189536009</v>
      </c>
      <c r="BP51" s="140">
        <f t="shared" si="21"/>
        <v>8.169952737847698E-2</v>
      </c>
      <c r="BQ51" s="140">
        <f t="shared" si="22"/>
        <v>-1.3504557270962701E-2</v>
      </c>
      <c r="BR51" s="141">
        <f t="shared" si="23"/>
        <v>-1.12796060235722E-3</v>
      </c>
      <c r="BS51" s="140">
        <f t="shared" si="24"/>
        <v>6.7067009505157066E-2</v>
      </c>
      <c r="BT51" s="71">
        <f t="shared" si="25"/>
        <v>5794.8909316662166</v>
      </c>
      <c r="BU51" s="69">
        <f t="shared" si="26"/>
        <v>81.957611851190663</v>
      </c>
      <c r="BV51" s="68">
        <f t="shared" si="27"/>
        <v>1.6118070272855913</v>
      </c>
    </row>
    <row r="52" spans="1:74" x14ac:dyDescent="0.25">
      <c r="B52" s="99">
        <v>55</v>
      </c>
      <c r="C52" s="98">
        <v>45237.741145833301</v>
      </c>
      <c r="D52" s="73">
        <v>181.79764</v>
      </c>
      <c r="E52" s="73">
        <v>0.98173377348066204</v>
      </c>
      <c r="F52" s="71">
        <v>19.734069587665999</v>
      </c>
      <c r="G52" s="71">
        <v>60.189580004051997</v>
      </c>
      <c r="H52" s="73">
        <f t="shared" si="0"/>
        <v>1.6108414387826515</v>
      </c>
      <c r="I52" s="73">
        <v>70.776456476660798</v>
      </c>
      <c r="J52" s="75">
        <v>1.8693013752090299E-5</v>
      </c>
      <c r="K52" s="74">
        <v>29191</v>
      </c>
      <c r="L52" s="73">
        <v>160.56864104506499</v>
      </c>
      <c r="M52" s="71">
        <v>99.746863714523201</v>
      </c>
      <c r="N52" s="73">
        <v>1.6056864104506501</v>
      </c>
      <c r="O52" s="71">
        <f t="shared" si="1"/>
        <v>-0.32002084177181345</v>
      </c>
      <c r="Q52" s="97">
        <f t="shared" si="2"/>
        <v>19.734069587665999</v>
      </c>
      <c r="R52" s="97">
        <f t="shared" si="3"/>
        <v>61.17131377753266</v>
      </c>
      <c r="S52" s="67">
        <v>70.778009689599003</v>
      </c>
      <c r="T52" s="67">
        <v>361.92657678592599</v>
      </c>
      <c r="U52" s="67">
        <v>1.5156240506450001</v>
      </c>
      <c r="V52" s="67">
        <v>92.97</v>
      </c>
      <c r="W52" s="67">
        <v>44.7</v>
      </c>
      <c r="X52" s="67">
        <f t="shared" si="4"/>
        <v>2.2350000000000002E-2</v>
      </c>
      <c r="Y52" s="67">
        <v>1</v>
      </c>
      <c r="Z52" s="67">
        <f t="shared" si="5"/>
        <v>0.99934979989175943</v>
      </c>
      <c r="AA52" s="67">
        <f t="shared" si="6"/>
        <v>1.0044954471533036</v>
      </c>
      <c r="AB52" s="67">
        <f t="shared" si="7"/>
        <v>1.6118559780503343</v>
      </c>
      <c r="AC52" s="67">
        <f t="shared" si="8"/>
        <v>6.2981944917527774E-2</v>
      </c>
      <c r="AD52" s="76">
        <f t="shared" si="9"/>
        <v>1.6108414387826515</v>
      </c>
      <c r="AE52" s="200"/>
      <c r="AF52" s="200"/>
      <c r="AG52" s="200"/>
      <c r="AH52" s="200"/>
      <c r="AI52" s="200"/>
      <c r="AJ52" s="200"/>
      <c r="AK52" s="76"/>
      <c r="AL52" s="76"/>
      <c r="AM52" s="95">
        <f t="shared" si="28"/>
        <v>1.6129046888536087</v>
      </c>
      <c r="AN52" s="95">
        <f t="shared" si="29"/>
        <v>0.12808523677640457</v>
      </c>
      <c r="AO52" s="76">
        <f t="shared" si="30"/>
        <v>1.6108414387826515</v>
      </c>
      <c r="AP52" s="200"/>
      <c r="AQ52" s="200"/>
      <c r="AR52" s="200"/>
      <c r="AS52" s="200"/>
      <c r="AT52" s="200"/>
      <c r="AU52" s="200"/>
      <c r="AW52" s="71">
        <v>19.662673663176999</v>
      </c>
      <c r="AX52" s="71">
        <v>60.185669390516203</v>
      </c>
      <c r="AY52" s="73">
        <v>81.861914319766896</v>
      </c>
      <c r="AZ52" s="73">
        <v>70.791658485346304</v>
      </c>
      <c r="BA52" s="75">
        <v>1.8690003840816498E-5</v>
      </c>
      <c r="BB52" s="74">
        <v>23972</v>
      </c>
      <c r="BC52" s="73">
        <v>131.86089764421601</v>
      </c>
      <c r="BD52" s="146">
        <f t="shared" si="10"/>
        <v>719576.95037797699</v>
      </c>
      <c r="BE52" s="145">
        <v>5798.78</v>
      </c>
      <c r="BF52" s="144">
        <f t="shared" si="11"/>
        <v>81.861914319766854</v>
      </c>
      <c r="BG52" s="68">
        <f t="shared" si="12"/>
        <v>-0.14292275650488967</v>
      </c>
      <c r="BH52" s="140">
        <f t="shared" si="13"/>
        <v>8.1691555222184534E-2</v>
      </c>
      <c r="BI52" s="140">
        <f t="shared" si="14"/>
        <v>-1.3525468285240374E-2</v>
      </c>
      <c r="BJ52" s="141">
        <f t="shared" si="15"/>
        <v>-1.1267881384390628E-3</v>
      </c>
      <c r="BK52" s="140">
        <f t="shared" si="16"/>
        <v>6.7039298798505093E-2</v>
      </c>
      <c r="BL52" s="143">
        <f t="shared" si="17"/>
        <v>5794.892538549132</v>
      </c>
      <c r="BM52" s="71">
        <f t="shared" si="18"/>
        <v>81.916830788725576</v>
      </c>
      <c r="BN52" s="142">
        <f t="shared" si="19"/>
        <v>720059.67333391088</v>
      </c>
      <c r="BO52" s="68">
        <f t="shared" si="20"/>
        <v>-0.14263151089408205</v>
      </c>
      <c r="BP52" s="140">
        <f t="shared" si="21"/>
        <v>8.169608750124828E-2</v>
      </c>
      <c r="BQ52" s="140">
        <f t="shared" si="22"/>
        <v>-1.351424841875544E-2</v>
      </c>
      <c r="BR52" s="141">
        <f t="shared" si="23"/>
        <v>-1.1275440360544781E-3</v>
      </c>
      <c r="BS52" s="140">
        <f t="shared" si="24"/>
        <v>6.7054295046438367E-2</v>
      </c>
      <c r="BT52" s="71">
        <f t="shared" si="25"/>
        <v>5794.8916689497055</v>
      </c>
      <c r="BU52" s="69">
        <f t="shared" si="26"/>
        <v>81.916843081419401</v>
      </c>
      <c r="BV52" s="68">
        <f t="shared" si="27"/>
        <v>1.6108414387826515</v>
      </c>
    </row>
    <row r="53" spans="1:74" x14ac:dyDescent="0.25">
      <c r="B53" s="99">
        <v>56</v>
      </c>
      <c r="C53" s="98">
        <v>45237.743900463</v>
      </c>
      <c r="D53" s="73">
        <v>181.79282000000001</v>
      </c>
      <c r="E53" s="73">
        <v>0.98170644198895196</v>
      </c>
      <c r="F53" s="71">
        <v>19.69899207512</v>
      </c>
      <c r="G53" s="71">
        <v>60.182891805538603</v>
      </c>
      <c r="H53" s="73">
        <f t="shared" si="0"/>
        <v>1.6110985345476911</v>
      </c>
      <c r="I53" s="73">
        <v>70.778397199600704</v>
      </c>
      <c r="J53" s="75">
        <v>1.8691422741456801E-5</v>
      </c>
      <c r="K53" s="74">
        <v>29204</v>
      </c>
      <c r="L53" s="73">
        <v>160.64440828851201</v>
      </c>
      <c r="M53" s="71">
        <v>99.778010089595497</v>
      </c>
      <c r="N53" s="73">
        <v>1.6064440828851201</v>
      </c>
      <c r="O53" s="71">
        <f t="shared" si="1"/>
        <v>-0.2888992549346322</v>
      </c>
      <c r="Q53" s="97">
        <f t="shared" si="2"/>
        <v>19.69899207512</v>
      </c>
      <c r="R53" s="97">
        <f t="shared" si="3"/>
        <v>61.164598247527557</v>
      </c>
      <c r="S53" s="67">
        <v>70.779950735935998</v>
      </c>
      <c r="T53" s="67">
        <v>361.90169264831297</v>
      </c>
      <c r="U53" s="67">
        <v>1.515623593498</v>
      </c>
      <c r="V53" s="67">
        <v>92.97</v>
      </c>
      <c r="W53" s="67">
        <v>44.7</v>
      </c>
      <c r="X53" s="67">
        <f t="shared" si="4"/>
        <v>2.2350000000000002E-2</v>
      </c>
      <c r="Y53" s="67">
        <v>1</v>
      </c>
      <c r="Z53" s="67">
        <f t="shared" si="5"/>
        <v>0.99934971053211441</v>
      </c>
      <c r="AA53" s="67">
        <f t="shared" si="6"/>
        <v>1.0044949275216473</v>
      </c>
      <c r="AB53" s="67">
        <f t="shared" si="7"/>
        <v>1.6126155832948983</v>
      </c>
      <c r="AC53" s="67">
        <f t="shared" si="8"/>
        <v>9.4162381423371799E-2</v>
      </c>
      <c r="AD53" s="76">
        <f t="shared" si="9"/>
        <v>1.6110985345476911</v>
      </c>
      <c r="AE53" s="200"/>
      <c r="AF53" s="200"/>
      <c r="AG53" s="200"/>
      <c r="AH53" s="200"/>
      <c r="AI53" s="200"/>
      <c r="AJ53" s="200"/>
      <c r="AK53" s="76"/>
      <c r="AL53" s="76"/>
      <c r="AM53" s="95">
        <f t="shared" si="28"/>
        <v>1.6136649326052679</v>
      </c>
      <c r="AN53" s="95">
        <f t="shared" si="29"/>
        <v>0.15929491601811005</v>
      </c>
      <c r="AO53" s="76">
        <f t="shared" si="30"/>
        <v>1.6110985345476911</v>
      </c>
      <c r="AP53" s="200"/>
      <c r="AQ53" s="200"/>
      <c r="AR53" s="200"/>
      <c r="AS53" s="200"/>
      <c r="AT53" s="200"/>
      <c r="AU53" s="200"/>
      <c r="AW53" s="71">
        <v>19.641714769408001</v>
      </c>
      <c r="AX53" s="71">
        <v>60.1786015256844</v>
      </c>
      <c r="AY53" s="73">
        <v>81.877744732612697</v>
      </c>
      <c r="AZ53" s="73">
        <v>70.7892651129537</v>
      </c>
      <c r="BA53" s="75">
        <v>1.8688980962947599E-5</v>
      </c>
      <c r="BB53" s="74">
        <v>23976</v>
      </c>
      <c r="BC53" s="73">
        <v>131.88639683349399</v>
      </c>
      <c r="BD53" s="146">
        <f t="shared" si="10"/>
        <v>719731.15901411162</v>
      </c>
      <c r="BE53" s="145">
        <v>5798.78</v>
      </c>
      <c r="BF53" s="144">
        <f t="shared" si="11"/>
        <v>81.877744732612442</v>
      </c>
      <c r="BG53" s="68">
        <f t="shared" si="12"/>
        <v>-0.14282969517972327</v>
      </c>
      <c r="BH53" s="140">
        <f t="shared" si="13"/>
        <v>8.1693004806956238E-2</v>
      </c>
      <c r="BI53" s="140">
        <f t="shared" si="14"/>
        <v>-1.3522689351360369E-2</v>
      </c>
      <c r="BJ53" s="141">
        <f t="shared" si="15"/>
        <v>-1.127098672884569E-3</v>
      </c>
      <c r="BK53" s="140">
        <f t="shared" si="16"/>
        <v>6.7043216782711301E-2</v>
      </c>
      <c r="BL53" s="143">
        <f t="shared" si="17"/>
        <v>5794.8923113538476</v>
      </c>
      <c r="BM53" s="71">
        <f t="shared" si="18"/>
        <v>81.93267503355105</v>
      </c>
      <c r="BN53" s="142">
        <f t="shared" si="19"/>
        <v>720214.01365658676</v>
      </c>
      <c r="BO53" s="68">
        <f t="shared" si="20"/>
        <v>-0.14253843254191143</v>
      </c>
      <c r="BP53" s="140">
        <f t="shared" si="21"/>
        <v>8.1697533258754812E-2</v>
      </c>
      <c r="BQ53" s="140">
        <f t="shared" si="22"/>
        <v>-1.3511471451872321E-2</v>
      </c>
      <c r="BR53" s="141">
        <f t="shared" si="23"/>
        <v>-1.127854823038573E-3</v>
      </c>
      <c r="BS53" s="140">
        <f t="shared" si="24"/>
        <v>6.7058206983843918E-2</v>
      </c>
      <c r="BT53" s="71">
        <f t="shared" si="25"/>
        <v>5794.8914421050622</v>
      </c>
      <c r="BU53" s="69">
        <f t="shared" si="26"/>
        <v>81.932687323665363</v>
      </c>
      <c r="BV53" s="68">
        <f t="shared" si="27"/>
        <v>1.6110985345476911</v>
      </c>
    </row>
    <row r="54" spans="1:74" x14ac:dyDescent="0.25">
      <c r="B54" s="99">
        <v>57</v>
      </c>
      <c r="C54" s="98">
        <v>45237.760625000003</v>
      </c>
      <c r="D54" s="73">
        <v>61.787109999999998</v>
      </c>
      <c r="E54" s="73">
        <v>0.98173829032258098</v>
      </c>
      <c r="F54" s="71">
        <v>19.582558386649001</v>
      </c>
      <c r="G54" s="71">
        <v>60.174566935663201</v>
      </c>
      <c r="H54" s="73" t="e">
        <f t="shared" si="0"/>
        <v>#NUM!</v>
      </c>
      <c r="I54" s="73">
        <v>70.800989391943602</v>
      </c>
      <c r="J54" s="75">
        <v>1.8686468995173999E-5</v>
      </c>
      <c r="K54" s="74">
        <v>0</v>
      </c>
      <c r="L54" s="73">
        <v>0</v>
      </c>
      <c r="M54" s="71" t="s">
        <v>132</v>
      </c>
      <c r="N54" s="73">
        <v>0</v>
      </c>
      <c r="O54" s="71" t="e">
        <f t="shared" si="1"/>
        <v>#NUM!</v>
      </c>
      <c r="Q54" s="97">
        <f t="shared" si="2"/>
        <v>19.582558386649001</v>
      </c>
      <c r="R54" s="97">
        <f t="shared" si="3"/>
        <v>61.156305225985783</v>
      </c>
      <c r="S54" s="67">
        <v>70.802543831132994</v>
      </c>
      <c r="T54" s="67">
        <v>361.82313570894797</v>
      </c>
      <c r="U54" s="67">
        <v>1.515654761438</v>
      </c>
      <c r="V54" s="67">
        <v>92.97</v>
      </c>
      <c r="W54" s="67">
        <v>44.7</v>
      </c>
      <c r="X54" s="67">
        <f t="shared" si="4"/>
        <v>2.2350000000000002E-2</v>
      </c>
      <c r="Y54" s="67">
        <v>1</v>
      </c>
      <c r="Z54" s="67">
        <f t="shared" si="5"/>
        <v>0.99934942831103479</v>
      </c>
      <c r="AA54" s="67">
        <f t="shared" si="6"/>
        <v>1.0044942807315</v>
      </c>
      <c r="AB54" s="67">
        <f t="shared" si="7"/>
        <v>0</v>
      </c>
      <c r="AD54" s="76" t="e">
        <f t="shared" si="9"/>
        <v>#NUM!</v>
      </c>
      <c r="AE54" s="76"/>
      <c r="AF54" s="76"/>
      <c r="AG54" s="76"/>
      <c r="AH54" s="76"/>
      <c r="AI54" s="76"/>
      <c r="AJ54" s="76"/>
      <c r="AK54" s="76"/>
      <c r="AL54" s="76"/>
      <c r="AM54" s="95">
        <f t="shared" si="28"/>
        <v>0</v>
      </c>
      <c r="AN54" s="95" t="e">
        <f t="shared" si="29"/>
        <v>#NUM!</v>
      </c>
      <c r="AO54" s="76" t="e">
        <f t="shared" si="30"/>
        <v>#NUM!</v>
      </c>
      <c r="AW54" s="71">
        <v>19.555548613048</v>
      </c>
      <c r="AX54" s="71">
        <v>60.192742773564703</v>
      </c>
      <c r="AY54" s="73">
        <v>0</v>
      </c>
      <c r="AZ54" s="73">
        <v>70.829419579042295</v>
      </c>
      <c r="BA54" s="75">
        <v>1.86857907003619E-5</v>
      </c>
      <c r="BB54" s="74">
        <v>0</v>
      </c>
      <c r="BC54" s="73">
        <v>0</v>
      </c>
      <c r="BD54" s="146">
        <f t="shared" si="10"/>
        <v>0</v>
      </c>
      <c r="BE54" s="145">
        <v>5798.78</v>
      </c>
      <c r="BF54" s="144">
        <f t="shared" si="11"/>
        <v>0</v>
      </c>
      <c r="BG54" s="68" t="e">
        <f t="shared" si="12"/>
        <v>#NUM!</v>
      </c>
      <c r="BH54" s="140" t="e">
        <f t="shared" si="13"/>
        <v>#NUM!</v>
      </c>
      <c r="BI54" s="140" t="e">
        <f t="shared" si="14"/>
        <v>#DIV/0!</v>
      </c>
      <c r="BJ54" s="141">
        <f t="shared" si="15"/>
        <v>0</v>
      </c>
      <c r="BK54" s="140" t="e">
        <f t="shared" si="16"/>
        <v>#NUM!</v>
      </c>
      <c r="BL54" s="143" t="e">
        <f t="shared" si="17"/>
        <v>#NUM!</v>
      </c>
      <c r="BM54" s="71" t="e">
        <f t="shared" si="18"/>
        <v>#NUM!</v>
      </c>
      <c r="BN54" s="142" t="e">
        <f t="shared" si="19"/>
        <v>#NUM!</v>
      </c>
      <c r="BO54" s="68" t="e">
        <f t="shared" si="20"/>
        <v>#NUM!</v>
      </c>
      <c r="BP54" s="140" t="e">
        <f t="shared" si="21"/>
        <v>#NUM!</v>
      </c>
      <c r="BQ54" s="140" t="e">
        <f t="shared" si="22"/>
        <v>#NUM!</v>
      </c>
      <c r="BR54" s="141" t="e">
        <f t="shared" si="23"/>
        <v>#NUM!</v>
      </c>
      <c r="BS54" s="140" t="e">
        <f t="shared" si="24"/>
        <v>#NUM!</v>
      </c>
      <c r="BT54" s="71" t="e">
        <f t="shared" si="25"/>
        <v>#NUM!</v>
      </c>
      <c r="BU54" s="69" t="e">
        <f t="shared" si="26"/>
        <v>#NUM!</v>
      </c>
      <c r="BV54" s="68" t="e">
        <f t="shared" si="27"/>
        <v>#NUM!</v>
      </c>
    </row>
    <row r="55" spans="1:74" x14ac:dyDescent="0.25">
      <c r="C55" s="82" t="s">
        <v>185</v>
      </c>
      <c r="D55" s="79"/>
      <c r="E55" s="79"/>
      <c r="F55" s="76"/>
      <c r="G55" s="76"/>
      <c r="H55" s="79"/>
      <c r="I55" s="79"/>
      <c r="J55" s="81"/>
      <c r="K55" s="80"/>
      <c r="L55" s="79"/>
      <c r="M55" s="76"/>
      <c r="N55" s="79"/>
      <c r="O55" s="76"/>
    </row>
    <row r="57" spans="1:74" hidden="1" x14ac:dyDescent="0.25">
      <c r="A57" s="78" t="s">
        <v>131</v>
      </c>
      <c r="B57" s="77" t="s">
        <v>130</v>
      </c>
      <c r="C57" s="77" t="s">
        <v>130</v>
      </c>
      <c r="D57" s="77" t="s">
        <v>129</v>
      </c>
      <c r="E57" s="77" t="s">
        <v>129</v>
      </c>
      <c r="F57" s="77" t="s">
        <v>129</v>
      </c>
      <c r="G57" s="77" t="s">
        <v>129</v>
      </c>
      <c r="H57" s="77" t="s">
        <v>129</v>
      </c>
      <c r="I57" s="77" t="s">
        <v>129</v>
      </c>
      <c r="J57" s="77" t="s">
        <v>129</v>
      </c>
      <c r="K57" s="77" t="s">
        <v>129</v>
      </c>
      <c r="L57" s="77" t="s">
        <v>129</v>
      </c>
      <c r="M57" s="77" t="s">
        <v>129</v>
      </c>
      <c r="N57" s="77" t="s">
        <v>129</v>
      </c>
      <c r="O57" s="77" t="s">
        <v>129</v>
      </c>
    </row>
    <row r="58" spans="1:74" hidden="1" x14ac:dyDescent="0.25">
      <c r="A58" s="78" t="s">
        <v>128</v>
      </c>
      <c r="B58" s="77" t="s">
        <v>127</v>
      </c>
      <c r="C58" s="77" t="s">
        <v>126</v>
      </c>
      <c r="D58" s="77">
        <v>10</v>
      </c>
      <c r="E58" s="77">
        <v>7</v>
      </c>
      <c r="F58" s="77">
        <v>24</v>
      </c>
      <c r="G58" s="77">
        <v>21</v>
      </c>
      <c r="H58" s="77">
        <v>34</v>
      </c>
      <c r="I58" s="77">
        <v>48</v>
      </c>
      <c r="J58" s="77">
        <v>94</v>
      </c>
      <c r="K58" s="77">
        <v>26</v>
      </c>
      <c r="L58" s="77">
        <v>18</v>
      </c>
      <c r="M58" s="77">
        <v>19</v>
      </c>
      <c r="N58" s="77">
        <v>16</v>
      </c>
      <c r="O58" s="77">
        <v>31</v>
      </c>
    </row>
    <row r="59" spans="1:74" hidden="1" x14ac:dyDescent="0.25">
      <c r="A59" s="78" t="s">
        <v>125</v>
      </c>
      <c r="B59" s="77">
        <v>-1</v>
      </c>
      <c r="C59" s="77">
        <v>-1</v>
      </c>
      <c r="D59" s="77">
        <v>89</v>
      </c>
      <c r="E59" s="77">
        <v>89</v>
      </c>
      <c r="F59" s="77">
        <v>89</v>
      </c>
      <c r="G59" s="77">
        <v>89</v>
      </c>
      <c r="H59" s="77">
        <v>89</v>
      </c>
      <c r="I59" s="77">
        <v>89</v>
      </c>
      <c r="J59" s="77">
        <v>89</v>
      </c>
      <c r="K59" s="77">
        <v>89</v>
      </c>
      <c r="L59" s="77">
        <v>89</v>
      </c>
      <c r="M59" s="77">
        <v>89</v>
      </c>
      <c r="N59" s="77">
        <v>89</v>
      </c>
      <c r="O59" s="77">
        <v>89</v>
      </c>
    </row>
    <row r="60" spans="1:74" hidden="1" x14ac:dyDescent="0.25">
      <c r="A60" s="78" t="s">
        <v>124</v>
      </c>
      <c r="B60" s="77" t="s">
        <v>7</v>
      </c>
      <c r="C60" s="77" t="s">
        <v>7</v>
      </c>
      <c r="D60" s="77" t="s">
        <v>123</v>
      </c>
      <c r="E60" s="77" t="s">
        <v>8</v>
      </c>
      <c r="F60" s="77" t="s">
        <v>9</v>
      </c>
      <c r="G60" s="77" t="s">
        <v>122</v>
      </c>
      <c r="H60" s="77" t="s">
        <v>38</v>
      </c>
      <c r="I60" s="77" t="s">
        <v>11</v>
      </c>
      <c r="J60" s="77" t="s">
        <v>121</v>
      </c>
      <c r="K60" s="77" t="s">
        <v>120</v>
      </c>
      <c r="L60" s="77" t="s">
        <v>101</v>
      </c>
      <c r="M60" s="77" t="s">
        <v>119</v>
      </c>
      <c r="N60" s="77" t="s">
        <v>38</v>
      </c>
      <c r="O60" s="77" t="s">
        <v>10</v>
      </c>
    </row>
    <row r="61" spans="1:74" hidden="1" x14ac:dyDescent="0.25">
      <c r="A61" s="78" t="s">
        <v>118</v>
      </c>
      <c r="B61" s="77"/>
      <c r="C61" s="77"/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</row>
  </sheetData>
  <mergeCells count="125">
    <mergeCell ref="AW10:BV10"/>
    <mergeCell ref="AP35:AP37"/>
    <mergeCell ref="AR24:AR26"/>
    <mergeCell ref="AR35:AR37"/>
    <mergeCell ref="AR14:AR18"/>
    <mergeCell ref="AS14:AS18"/>
    <mergeCell ref="AT14:AT18"/>
    <mergeCell ref="AH14:AH18"/>
    <mergeCell ref="AI14:AI18"/>
    <mergeCell ref="AJ14:AJ18"/>
    <mergeCell ref="AH19:AH23"/>
    <mergeCell ref="AI19:AI23"/>
    <mergeCell ref="AJ19:AJ23"/>
    <mergeCell ref="AU14:AU18"/>
    <mergeCell ref="AR19:AR23"/>
    <mergeCell ref="AS19:AS23"/>
    <mergeCell ref="AT19:AT23"/>
    <mergeCell ref="AU19:AU23"/>
    <mergeCell ref="AS24:AS26"/>
    <mergeCell ref="AT24:AT26"/>
    <mergeCell ref="AU24:AU26"/>
    <mergeCell ref="AP24:AP26"/>
    <mergeCell ref="AU32:AU34"/>
    <mergeCell ref="AU27:AU31"/>
    <mergeCell ref="AQ49:AQ53"/>
    <mergeCell ref="AS40:AS42"/>
    <mergeCell ref="AR32:AR34"/>
    <mergeCell ref="AP10:AQ10"/>
    <mergeCell ref="AP14:AP18"/>
    <mergeCell ref="AQ14:AQ18"/>
    <mergeCell ref="AP19:AP23"/>
    <mergeCell ref="AQ19:AQ23"/>
    <mergeCell ref="AQ24:AQ26"/>
    <mergeCell ref="AQ27:AQ31"/>
    <mergeCell ref="AQ32:AQ34"/>
    <mergeCell ref="AP27:AP31"/>
    <mergeCell ref="AP32:AP34"/>
    <mergeCell ref="AP40:AP42"/>
    <mergeCell ref="AP43:AP45"/>
    <mergeCell ref="AP46:AP48"/>
    <mergeCell ref="AP49:AP53"/>
    <mergeCell ref="Q10:U10"/>
    <mergeCell ref="AE10:AF10"/>
    <mergeCell ref="AE14:AE18"/>
    <mergeCell ref="AF14:AF18"/>
    <mergeCell ref="AG14:AG18"/>
    <mergeCell ref="AJ24:AJ26"/>
    <mergeCell ref="AT40:AT42"/>
    <mergeCell ref="AS46:AS48"/>
    <mergeCell ref="AT46:AT48"/>
    <mergeCell ref="AR46:AR48"/>
    <mergeCell ref="AR43:AR45"/>
    <mergeCell ref="AR40:AR42"/>
    <mergeCell ref="AQ35:AQ37"/>
    <mergeCell ref="AQ40:AQ42"/>
    <mergeCell ref="AQ43:AQ45"/>
    <mergeCell ref="AQ46:AQ48"/>
    <mergeCell ref="AE19:AE23"/>
    <mergeCell ref="AF19:AF23"/>
    <mergeCell ref="AG19:AG23"/>
    <mergeCell ref="AJ27:AJ31"/>
    <mergeCell ref="AS32:AS34"/>
    <mergeCell ref="AT32:AT34"/>
    <mergeCell ref="AS27:AS31"/>
    <mergeCell ref="AT27:AT31"/>
    <mergeCell ref="AU49:AU53"/>
    <mergeCell ref="AS43:AS45"/>
    <mergeCell ref="AT43:AT45"/>
    <mergeCell ref="AU43:AU45"/>
    <mergeCell ref="AU40:AU42"/>
    <mergeCell ref="AR27:AR31"/>
    <mergeCell ref="AU46:AU48"/>
    <mergeCell ref="AS35:AS37"/>
    <mergeCell ref="AT35:AT37"/>
    <mergeCell ref="AU35:AU37"/>
    <mergeCell ref="AS49:AS53"/>
    <mergeCell ref="AT49:AT53"/>
    <mergeCell ref="AR49:AR53"/>
    <mergeCell ref="AI24:AI26"/>
    <mergeCell ref="AI40:AI42"/>
    <mergeCell ref="AH32:AH34"/>
    <mergeCell ref="AI32:AI34"/>
    <mergeCell ref="AE40:AE42"/>
    <mergeCell ref="AF40:AF42"/>
    <mergeCell ref="AE27:AE31"/>
    <mergeCell ref="AF27:AF31"/>
    <mergeCell ref="AG27:AG31"/>
    <mergeCell ref="AH27:AH31"/>
    <mergeCell ref="AI27:AI31"/>
    <mergeCell ref="AG40:AG42"/>
    <mergeCell ref="AH40:AH42"/>
    <mergeCell ref="AM9:AU9"/>
    <mergeCell ref="AJ46:AJ48"/>
    <mergeCell ref="AE49:AE53"/>
    <mergeCell ref="AF49:AF53"/>
    <mergeCell ref="AG49:AG53"/>
    <mergeCell ref="AH49:AH53"/>
    <mergeCell ref="AI49:AI53"/>
    <mergeCell ref="AJ49:AJ53"/>
    <mergeCell ref="AE46:AE48"/>
    <mergeCell ref="AF46:AF48"/>
    <mergeCell ref="AJ32:AJ34"/>
    <mergeCell ref="AE35:AE37"/>
    <mergeCell ref="AF35:AF37"/>
    <mergeCell ref="AG35:AG37"/>
    <mergeCell ref="AH35:AH37"/>
    <mergeCell ref="AI35:AI37"/>
    <mergeCell ref="AJ35:AJ37"/>
    <mergeCell ref="AE32:AE34"/>
    <mergeCell ref="AF32:AF34"/>
    <mergeCell ref="AG32:AG34"/>
    <mergeCell ref="AE24:AE26"/>
    <mergeCell ref="AF24:AF26"/>
    <mergeCell ref="AG24:AG26"/>
    <mergeCell ref="AH24:AH26"/>
    <mergeCell ref="AG46:AG48"/>
    <mergeCell ref="AH46:AH48"/>
    <mergeCell ref="AI46:AI48"/>
    <mergeCell ref="AJ40:AJ42"/>
    <mergeCell ref="AE43:AE45"/>
    <mergeCell ref="AF43:AF45"/>
    <mergeCell ref="AG43:AG45"/>
    <mergeCell ref="AH43:AH45"/>
    <mergeCell ref="AI43:AI45"/>
    <mergeCell ref="AJ43:AJ45"/>
  </mergeCells>
  <conditionalFormatting sqref="AG13:AG14 AG19">
    <cfRule type="cellIs" dxfId="15" priority="3" operator="greaterThan">
      <formula>0.15</formula>
    </cfRule>
  </conditionalFormatting>
  <conditionalFormatting sqref="AG24:AG27">
    <cfRule type="cellIs" dxfId="14" priority="2" operator="greaterThan">
      <formula>0.15</formula>
    </cfRule>
  </conditionalFormatting>
  <conditionalFormatting sqref="AG32:AG37">
    <cfRule type="cellIs" dxfId="13" priority="4" operator="greaterThan">
      <formula>0.15</formula>
    </cfRule>
  </conditionalFormatting>
  <conditionalFormatting sqref="AG40:AG49">
    <cfRule type="cellIs" dxfId="12" priority="1" operator="greaterThan">
      <formula>0.15</formula>
    </cfRule>
  </conditionalFormatting>
  <conditionalFormatting sqref="AR13:AR14 AR19">
    <cfRule type="cellIs" dxfId="11" priority="7" operator="greaterThan">
      <formula>0.15</formula>
    </cfRule>
  </conditionalFormatting>
  <conditionalFormatting sqref="AR24:AR27">
    <cfRule type="cellIs" dxfId="10" priority="6" operator="greaterThan">
      <formula>0.15</formula>
    </cfRule>
  </conditionalFormatting>
  <conditionalFormatting sqref="AR32:AR37">
    <cfRule type="cellIs" dxfId="9" priority="8" operator="greaterThan">
      <formula>0.15</formula>
    </cfRule>
  </conditionalFormatting>
  <conditionalFormatting sqref="AR40:AR49">
    <cfRule type="cellIs" dxfId="8" priority="5" operator="greaterThan">
      <formula>0.15</formula>
    </cfRule>
  </conditionalFormatting>
  <pageMargins left="0.75" right="0.75" top="0.75" bottom="0.5" header="0.5" footer="0.7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57F5-C926-4E39-8CDF-2F2300EBEBF4}">
  <sheetPr codeName="Sheet13">
    <tabColor theme="9"/>
  </sheetPr>
  <dimension ref="A1:BV61"/>
  <sheetViews>
    <sheetView zoomScale="85" zoomScaleNormal="85" workbookViewId="0">
      <selection activeCell="AA13" sqref="AA13"/>
    </sheetView>
  </sheetViews>
  <sheetFormatPr defaultColWidth="12.7109375" defaultRowHeight="15" x14ac:dyDescent="0.25"/>
  <cols>
    <col min="1" max="1" width="20.7109375" style="67" customWidth="1"/>
    <col min="2" max="15" width="12.7109375" style="67" customWidth="1"/>
    <col min="16" max="16" width="12.7109375" style="67"/>
    <col min="17" max="18" width="19.140625" style="67" bestFit="1" customWidth="1"/>
    <col min="19" max="16384" width="12.7109375" style="67"/>
  </cols>
  <sheetData>
    <row r="1" spans="1:74" ht="23.25" x14ac:dyDescent="0.35">
      <c r="A1" s="139" t="s">
        <v>184</v>
      </c>
      <c r="BK1" s="137" t="s">
        <v>183</v>
      </c>
      <c r="BL1" s="137">
        <f>'[1](TBL) Coriolis N2 10 bar'!BL1</f>
        <v>8.20304581916039E-2</v>
      </c>
    </row>
    <row r="2" spans="1:74" ht="21" x14ac:dyDescent="0.35">
      <c r="BK2" s="137" t="s">
        <v>182</v>
      </c>
      <c r="BL2" s="137">
        <f>'[1](TBL) Coriolis N2 10 bar'!BL2</f>
        <v>-1.2922266296989613E-2</v>
      </c>
    </row>
    <row r="3" spans="1:74" ht="21" x14ac:dyDescent="0.35">
      <c r="A3" s="78" t="s">
        <v>181</v>
      </c>
      <c r="B3" s="77" t="s">
        <v>180</v>
      </c>
      <c r="BD3" s="138">
        <f>MAX(BD13:BD46)</f>
        <v>7398379.8676204216</v>
      </c>
      <c r="BK3" s="137" t="s">
        <v>179</v>
      </c>
      <c r="BL3" s="137">
        <f>'[1](TBL) Coriolis N2 10 bar'!BL3</f>
        <v>-0.11908411135793115</v>
      </c>
    </row>
    <row r="4" spans="1:74" ht="21" x14ac:dyDescent="0.35">
      <c r="A4" s="78" t="s">
        <v>54</v>
      </c>
      <c r="B4" s="77" t="s">
        <v>189</v>
      </c>
      <c r="BD4" s="138">
        <f>MIN(BD13:BD37)</f>
        <v>872255.96132600319</v>
      </c>
      <c r="BK4" s="137" t="s">
        <v>177</v>
      </c>
      <c r="BL4" s="137">
        <f>'[1](TBL) Coriolis N2 10 bar'!BL4</f>
        <v>-6.7147345489652774E-2</v>
      </c>
    </row>
    <row r="5" spans="1:74" ht="21" x14ac:dyDescent="0.35">
      <c r="A5" s="78" t="s">
        <v>176</v>
      </c>
      <c r="B5" s="77" t="s">
        <v>188</v>
      </c>
      <c r="AC5" s="67">
        <f>'(TBL) Coriolis N2 60 bar'!AC5</f>
        <v>0</v>
      </c>
      <c r="BK5" s="137" t="s">
        <v>175</v>
      </c>
      <c r="BL5" s="137">
        <f>'[1](TBL) Coriolis N2 10 bar'!BL5</f>
        <v>0.12150091665862671</v>
      </c>
    </row>
    <row r="6" spans="1:74" ht="21" x14ac:dyDescent="0.35">
      <c r="A6" s="78"/>
      <c r="B6" s="77"/>
      <c r="BK6" s="137" t="s">
        <v>172</v>
      </c>
      <c r="BL6" s="137">
        <f>'[1](TBL) Coriolis N2 10 bar'!BL6</f>
        <v>-1.1760973620189581E-4</v>
      </c>
    </row>
    <row r="7" spans="1:74" ht="21" x14ac:dyDescent="0.35">
      <c r="A7" s="78"/>
      <c r="B7" s="77"/>
      <c r="AQ7" s="79">
        <f>AVERAGE(AQ13:AQ86)</f>
        <v>0.28579117330010934</v>
      </c>
      <c r="BK7" s="137" t="s">
        <v>171</v>
      </c>
      <c r="BL7" s="137">
        <f>'[1](TBL) Coriolis N2 10 bar'!BL7</f>
        <v>-1.6600711533985849E-2</v>
      </c>
    </row>
    <row r="8" spans="1:74" ht="21" x14ac:dyDescent="0.35">
      <c r="A8" s="78"/>
      <c r="B8" s="77"/>
      <c r="BK8" s="137" t="s">
        <v>170</v>
      </c>
      <c r="BL8" s="137">
        <f>'[1](TBL) Coriolis N2 10 bar'!BL8</f>
        <v>-4.2815480982609365E-2</v>
      </c>
    </row>
    <row r="9" spans="1:74" x14ac:dyDescent="0.25">
      <c r="A9" s="78" t="s">
        <v>174</v>
      </c>
      <c r="B9" s="77" t="s">
        <v>188</v>
      </c>
      <c r="AM9" s="201" t="s">
        <v>169</v>
      </c>
      <c r="AN9" s="202"/>
      <c r="AO9" s="202"/>
      <c r="AP9" s="202"/>
      <c r="AQ9" s="202"/>
      <c r="AR9" s="202"/>
      <c r="AS9" s="202"/>
      <c r="AT9" s="202"/>
      <c r="AU9" s="203"/>
    </row>
    <row r="10" spans="1:74" x14ac:dyDescent="0.25">
      <c r="C10" s="82"/>
      <c r="D10" s="79"/>
      <c r="E10" s="79"/>
      <c r="F10" s="76"/>
      <c r="G10" s="76"/>
      <c r="H10" s="79"/>
      <c r="I10" s="79"/>
      <c r="J10" s="81"/>
      <c r="K10" s="80"/>
      <c r="L10" s="79"/>
      <c r="M10" s="76"/>
      <c r="N10" s="79"/>
      <c r="O10" s="76"/>
      <c r="Q10" s="205" t="s">
        <v>168</v>
      </c>
      <c r="R10" s="206"/>
      <c r="S10" s="206"/>
      <c r="T10" s="206"/>
      <c r="U10" s="207"/>
      <c r="AA10" s="136"/>
      <c r="AB10" s="136"/>
      <c r="AC10" s="136"/>
      <c r="AE10" s="205" t="s">
        <v>167</v>
      </c>
      <c r="AF10" s="207"/>
      <c r="AP10" s="205" t="s">
        <v>167</v>
      </c>
      <c r="AQ10" s="207"/>
      <c r="AW10" s="201" t="s">
        <v>166</v>
      </c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3"/>
    </row>
    <row r="11" spans="1:74" ht="60" x14ac:dyDescent="0.25">
      <c r="B11" s="135" t="s">
        <v>1</v>
      </c>
      <c r="C11" s="134" t="s">
        <v>0</v>
      </c>
      <c r="D11" s="122" t="s">
        <v>165</v>
      </c>
      <c r="E11" s="122" t="s">
        <v>164</v>
      </c>
      <c r="F11" s="131" t="s">
        <v>154</v>
      </c>
      <c r="G11" s="131" t="s">
        <v>153</v>
      </c>
      <c r="H11" s="122" t="s">
        <v>137</v>
      </c>
      <c r="I11" s="122" t="s">
        <v>152</v>
      </c>
      <c r="J11" s="130" t="s">
        <v>151</v>
      </c>
      <c r="K11" s="129" t="s">
        <v>150</v>
      </c>
      <c r="L11" s="122" t="s">
        <v>149</v>
      </c>
      <c r="M11" s="131" t="s">
        <v>139</v>
      </c>
      <c r="N11" s="122" t="s">
        <v>160</v>
      </c>
      <c r="O11" s="131" t="s">
        <v>159</v>
      </c>
      <c r="Q11" s="132" t="s">
        <v>154</v>
      </c>
      <c r="R11" s="132" t="s">
        <v>163</v>
      </c>
      <c r="S11" s="133" t="s">
        <v>162</v>
      </c>
      <c r="T11" s="133" t="s">
        <v>93</v>
      </c>
      <c r="U11" s="133" t="s">
        <v>161</v>
      </c>
      <c r="V11" s="122" t="s">
        <v>94</v>
      </c>
      <c r="W11" s="122" t="s">
        <v>95</v>
      </c>
      <c r="X11" s="122" t="s">
        <v>96</v>
      </c>
      <c r="Y11" s="122" t="s">
        <v>97</v>
      </c>
      <c r="Z11" s="122" t="s">
        <v>98</v>
      </c>
      <c r="AA11" s="133" t="s">
        <v>99</v>
      </c>
      <c r="AB11" s="133" t="s">
        <v>160</v>
      </c>
      <c r="AC11" s="132" t="s">
        <v>159</v>
      </c>
      <c r="AD11" s="122" t="s">
        <v>137</v>
      </c>
      <c r="AE11" s="133" t="s">
        <v>137</v>
      </c>
      <c r="AF11" s="132" t="s">
        <v>159</v>
      </c>
      <c r="AG11" s="132" t="s">
        <v>158</v>
      </c>
      <c r="AH11" s="132" t="s">
        <v>157</v>
      </c>
      <c r="AI11" s="132" t="s">
        <v>156</v>
      </c>
      <c r="AJ11" s="132" t="s">
        <v>155</v>
      </c>
      <c r="AM11" s="133" t="s">
        <v>160</v>
      </c>
      <c r="AN11" s="131" t="s">
        <v>159</v>
      </c>
      <c r="AO11" s="122" t="s">
        <v>137</v>
      </c>
      <c r="AP11" s="133" t="s">
        <v>137</v>
      </c>
      <c r="AQ11" s="132" t="s">
        <v>159</v>
      </c>
      <c r="AR11" s="132" t="s">
        <v>158</v>
      </c>
      <c r="AS11" s="132" t="s">
        <v>157</v>
      </c>
      <c r="AT11" s="132" t="s">
        <v>156</v>
      </c>
      <c r="AU11" s="132" t="s">
        <v>155</v>
      </c>
      <c r="AW11" s="131" t="s">
        <v>154</v>
      </c>
      <c r="AX11" s="131" t="s">
        <v>153</v>
      </c>
      <c r="AY11" s="122" t="s">
        <v>138</v>
      </c>
      <c r="AZ11" s="122" t="s">
        <v>152</v>
      </c>
      <c r="BA11" s="130" t="s">
        <v>151</v>
      </c>
      <c r="BB11" s="129" t="s">
        <v>150</v>
      </c>
      <c r="BC11" s="122" t="s">
        <v>149</v>
      </c>
      <c r="BD11" s="124" t="s">
        <v>145</v>
      </c>
      <c r="BE11" s="128" t="s">
        <v>148</v>
      </c>
      <c r="BF11" s="127" t="s">
        <v>147</v>
      </c>
      <c r="BG11" s="126" t="s">
        <v>144</v>
      </c>
      <c r="BH11" s="125" t="s">
        <v>143</v>
      </c>
      <c r="BI11" s="124" t="s">
        <v>142</v>
      </c>
      <c r="BJ11" s="124" t="s">
        <v>141</v>
      </c>
      <c r="BK11" s="124" t="s">
        <v>140</v>
      </c>
      <c r="BL11" s="123" t="s">
        <v>139</v>
      </c>
      <c r="BM11" s="124" t="s">
        <v>146</v>
      </c>
      <c r="BN11" s="124" t="s">
        <v>145</v>
      </c>
      <c r="BO11" s="126" t="s">
        <v>144</v>
      </c>
      <c r="BP11" s="125" t="s">
        <v>143</v>
      </c>
      <c r="BQ11" s="124" t="s">
        <v>142</v>
      </c>
      <c r="BR11" s="124" t="s">
        <v>141</v>
      </c>
      <c r="BS11" s="124" t="s">
        <v>140</v>
      </c>
      <c r="BT11" s="123" t="s">
        <v>139</v>
      </c>
      <c r="BU11" s="124" t="s">
        <v>138</v>
      </c>
      <c r="BV11" s="122" t="s">
        <v>137</v>
      </c>
    </row>
    <row r="12" spans="1:74" ht="17.25" x14ac:dyDescent="0.25">
      <c r="B12" s="121" t="s">
        <v>7</v>
      </c>
      <c r="C12" s="120" t="s">
        <v>7</v>
      </c>
      <c r="D12" s="109" t="s">
        <v>123</v>
      </c>
      <c r="E12" s="109" t="s">
        <v>8</v>
      </c>
      <c r="F12" s="118" t="s">
        <v>9</v>
      </c>
      <c r="G12" s="118" t="s">
        <v>122</v>
      </c>
      <c r="H12" s="109" t="s">
        <v>38</v>
      </c>
      <c r="I12" s="109" t="s">
        <v>11</v>
      </c>
      <c r="J12" s="117" t="s">
        <v>121</v>
      </c>
      <c r="K12" s="116" t="s">
        <v>120</v>
      </c>
      <c r="L12" s="109" t="s">
        <v>101</v>
      </c>
      <c r="M12" s="118" t="s">
        <v>119</v>
      </c>
      <c r="N12" s="109" t="s">
        <v>38</v>
      </c>
      <c r="O12" s="118" t="s">
        <v>10</v>
      </c>
      <c r="Q12" s="118" t="s">
        <v>9</v>
      </c>
      <c r="R12" s="118" t="s">
        <v>136</v>
      </c>
      <c r="S12" s="109" t="s">
        <v>11</v>
      </c>
      <c r="T12" s="109" t="s">
        <v>100</v>
      </c>
      <c r="U12" s="109" t="s">
        <v>7</v>
      </c>
      <c r="V12" s="109" t="s">
        <v>101</v>
      </c>
      <c r="W12" s="109" t="s">
        <v>102</v>
      </c>
      <c r="X12" s="109" t="s">
        <v>102</v>
      </c>
      <c r="Y12" s="109" t="s">
        <v>7</v>
      </c>
      <c r="Z12" s="109" t="s">
        <v>7</v>
      </c>
      <c r="AA12" s="109" t="s">
        <v>7</v>
      </c>
      <c r="AB12" s="109" t="s">
        <v>38</v>
      </c>
      <c r="AC12" s="118" t="s">
        <v>10</v>
      </c>
      <c r="AD12" s="109" t="s">
        <v>38</v>
      </c>
      <c r="AE12" s="108" t="s">
        <v>38</v>
      </c>
      <c r="AF12" s="119" t="s">
        <v>10</v>
      </c>
      <c r="AG12" s="119" t="s">
        <v>10</v>
      </c>
      <c r="AH12" s="119" t="s">
        <v>10</v>
      </c>
      <c r="AI12" s="119" t="s">
        <v>10</v>
      </c>
      <c r="AJ12" s="119" t="s">
        <v>10</v>
      </c>
      <c r="AM12" s="109" t="s">
        <v>38</v>
      </c>
      <c r="AN12" s="118" t="s">
        <v>10</v>
      </c>
      <c r="AO12" s="109" t="s">
        <v>38</v>
      </c>
      <c r="AP12" s="108" t="s">
        <v>38</v>
      </c>
      <c r="AQ12" s="119" t="s">
        <v>10</v>
      </c>
      <c r="AR12" s="119" t="s">
        <v>10</v>
      </c>
      <c r="AS12" s="119" t="s">
        <v>10</v>
      </c>
      <c r="AT12" s="119" t="s">
        <v>10</v>
      </c>
      <c r="AU12" s="119" t="s">
        <v>10</v>
      </c>
      <c r="AW12" s="118" t="s">
        <v>9</v>
      </c>
      <c r="AX12" s="118" t="s">
        <v>122</v>
      </c>
      <c r="AY12" s="109" t="s">
        <v>133</v>
      </c>
      <c r="AZ12" s="109" t="s">
        <v>11</v>
      </c>
      <c r="BA12" s="117" t="s">
        <v>121</v>
      </c>
      <c r="BB12" s="116" t="s">
        <v>120</v>
      </c>
      <c r="BC12" s="109" t="s">
        <v>101</v>
      </c>
      <c r="BD12" s="114" t="s">
        <v>7</v>
      </c>
      <c r="BE12" s="115" t="s">
        <v>7</v>
      </c>
      <c r="BF12" s="113" t="s">
        <v>135</v>
      </c>
      <c r="BG12" s="113" t="s">
        <v>7</v>
      </c>
      <c r="BH12" s="113" t="s">
        <v>10</v>
      </c>
      <c r="BI12" s="112" t="s">
        <v>10</v>
      </c>
      <c r="BJ12" s="111" t="s">
        <v>10</v>
      </c>
      <c r="BK12" s="111" t="s">
        <v>10</v>
      </c>
      <c r="BL12" s="110" t="s">
        <v>134</v>
      </c>
      <c r="BM12" s="114" t="s">
        <v>133</v>
      </c>
      <c r="BN12" s="114" t="s">
        <v>7</v>
      </c>
      <c r="BO12" s="113" t="s">
        <v>7</v>
      </c>
      <c r="BP12" s="113" t="s">
        <v>10</v>
      </c>
      <c r="BQ12" s="112" t="s">
        <v>10</v>
      </c>
      <c r="BR12" s="111" t="s">
        <v>10</v>
      </c>
      <c r="BS12" s="111" t="s">
        <v>10</v>
      </c>
      <c r="BT12" s="110" t="s">
        <v>134</v>
      </c>
      <c r="BU12" s="114" t="s">
        <v>133</v>
      </c>
      <c r="BV12" s="108" t="s">
        <v>38</v>
      </c>
    </row>
    <row r="13" spans="1:74" s="100" customFormat="1" x14ac:dyDescent="0.25">
      <c r="B13" s="107">
        <v>2</v>
      </c>
      <c r="C13" s="106">
        <v>45239.360763888901</v>
      </c>
      <c r="D13" s="103">
        <v>182.29604</v>
      </c>
      <c r="E13" s="103">
        <v>0.96676169613259499</v>
      </c>
      <c r="F13" s="102">
        <v>19.911889741907999</v>
      </c>
      <c r="G13" s="102">
        <v>27.830258098975101</v>
      </c>
      <c r="H13" s="103">
        <f t="shared" ref="H13:H38" si="0">BV13</f>
        <v>13.404636340515628</v>
      </c>
      <c r="I13" s="103">
        <v>62.881197017379399</v>
      </c>
      <c r="J13" s="105">
        <v>1.5177921640401399E-5</v>
      </c>
      <c r="K13" s="104">
        <v>277691</v>
      </c>
      <c r="L13" s="103">
        <v>1523.296940515</v>
      </c>
      <c r="M13" s="102">
        <v>113.62103298556799</v>
      </c>
      <c r="N13" s="103">
        <v>15.23296940515</v>
      </c>
      <c r="O13" s="102">
        <f t="shared" ref="O13:O38" si="1">(N13-H13)/H13*100</f>
        <v>13.639557375444936</v>
      </c>
      <c r="Q13" s="97">
        <f t="shared" ref="Q13:Q38" si="2">F13</f>
        <v>19.911889741907999</v>
      </c>
      <c r="R13" s="97">
        <f t="shared" ref="R13:R38" si="3">G13+E13</f>
        <v>28.797019795107694</v>
      </c>
      <c r="S13" s="67">
        <v>62.883450933417002</v>
      </c>
      <c r="T13" s="67">
        <v>241.14263731683801</v>
      </c>
      <c r="U13" s="67">
        <v>1.269804421064</v>
      </c>
      <c r="V13" s="67">
        <v>93.14</v>
      </c>
      <c r="W13" s="67">
        <v>44.7</v>
      </c>
      <c r="X13" s="67">
        <f t="shared" ref="X13:X38" si="4">W13/2/1000</f>
        <v>2.2350000000000002E-2</v>
      </c>
      <c r="Y13" s="67">
        <v>1</v>
      </c>
      <c r="Z13" s="67">
        <f t="shared" ref="Z13:Z38" si="5">1/(1+Y13*0.5*(2*PI()*V13/T13*X13)^2)</f>
        <v>0.99853117222023968</v>
      </c>
      <c r="AA13" s="96">
        <f t="shared" ref="AA13:AA38" si="6">1/(1-0.0077/100*((G13)-2.06843))</f>
        <v>1.0019876034946871</v>
      </c>
      <c r="AB13" s="100">
        <f t="shared" ref="AB13:AB38" si="7">N13*AA13*Z13</f>
        <v>15.240827427893306</v>
      </c>
      <c r="AC13" s="101">
        <f t="shared" ref="AC13:AC38" si="8">(AB13-H13)/H13*100-$AC$5</f>
        <v>13.698179053375545</v>
      </c>
      <c r="AD13" s="101">
        <f t="shared" ref="AD13:AD38" si="9">H13</f>
        <v>13.404636340515628</v>
      </c>
      <c r="AE13" s="204"/>
      <c r="AF13" s="204"/>
      <c r="AG13" s="200">
        <f>STDEV(AC13:AC15)</f>
        <v>3.6886518033551137</v>
      </c>
      <c r="AH13" s="200"/>
      <c r="AI13" s="200"/>
      <c r="AJ13" s="200"/>
      <c r="AM13" s="101">
        <f t="shared" ref="AM13:AM38" si="10">N13*AA13</f>
        <v>15.263246508374136</v>
      </c>
      <c r="AN13" s="101">
        <f t="shared" ref="AN13:AN38" si="11">(AM13-H13)/H13*100</f>
        <v>13.865427756819058</v>
      </c>
      <c r="AO13" s="101">
        <f t="shared" ref="AO13:AO38" si="12">H13</f>
        <v>13.404636340515628</v>
      </c>
      <c r="AP13" s="204"/>
      <c r="AQ13" s="204"/>
      <c r="AR13" s="200">
        <f>STDEV(AN13:AN15)</f>
        <v>3.6940913453355884</v>
      </c>
      <c r="AS13" s="200"/>
      <c r="AT13" s="200"/>
      <c r="AU13" s="200"/>
      <c r="AW13" s="85">
        <v>20.168892755445999</v>
      </c>
      <c r="AX13" s="85">
        <v>26.207134941032798</v>
      </c>
      <c r="AY13" s="92">
        <v>825.78377993804304</v>
      </c>
      <c r="AZ13" s="92">
        <v>58.446968330545999</v>
      </c>
      <c r="BA13" s="94">
        <v>1.5139598637426001E-5</v>
      </c>
      <c r="BB13" s="93">
        <v>242481</v>
      </c>
      <c r="BC13" s="92">
        <v>1330.1495742858699</v>
      </c>
      <c r="BD13" s="91">
        <f t="shared" ref="BD13:BD38" si="13">4*(BF13/3600*AZ13)/(BA13*PI()*0.1524)</f>
        <v>7398379.8676204216</v>
      </c>
      <c r="BE13" s="90">
        <v>5798.78</v>
      </c>
      <c r="BF13" s="89">
        <f t="shared" ref="BF13:BF38" si="14">BC13/BE13*3600</f>
        <v>825.78377993804418</v>
      </c>
      <c r="BG13" s="83">
        <f t="shared" ref="BG13:BG38" si="15">LOG(BD13/10^6)</f>
        <v>0.86913662627324517</v>
      </c>
      <c r="BH13" s="86">
        <f t="shared" ref="BH13:BH38" si="16">$BL$1+$BL$2*BG13+$BL$3*BG13^2+$BL$4*BG13^3+$BL$5*BG13^4</f>
        <v>6.0897540549050971E-3</v>
      </c>
      <c r="BI13" s="86">
        <f t="shared" ref="BI13:BI38" si="17">$BL$6/(AZ13*(BF13/3600)^2)+$BL$7/(AZ13*BF13/3600)</f>
        <v>-1.2764718458672369E-3</v>
      </c>
      <c r="BJ13" s="87">
        <f t="shared" ref="BJ13:BJ38" si="18">$BL$8*AZ13*BF13/3600/(AX13+E13)</f>
        <v>-2.1123931209850292E-2</v>
      </c>
      <c r="BK13" s="86">
        <f t="shared" ref="BK13:BK38" si="19">BH13+BI13+BJ13</f>
        <v>-1.631064900081243E-2</v>
      </c>
      <c r="BL13" s="88">
        <f t="shared" ref="BL13:BL38" si="20">BE13-BE13/100*BK13</f>
        <v>5799.7258186521294</v>
      </c>
      <c r="BM13" s="85">
        <f t="shared" ref="BM13:BM38" si="21">BC13/BL13*3600</f>
        <v>825.64911120953639</v>
      </c>
      <c r="BN13" s="150">
        <f t="shared" ref="BN13:BN38" si="22">4*(BM13/3600*AZ13)/(BA13*PI()*0.1524)</f>
        <v>7397173.3406408476</v>
      </c>
      <c r="BO13" s="83">
        <f t="shared" ref="BO13:BO38" si="23">LOG(BN13/10^6)</f>
        <v>0.86906579580096976</v>
      </c>
      <c r="BP13" s="86">
        <f t="shared" ref="BP13:BP38" si="24">$BL$1+$BL$2*BO13+$BL$3*BO13^2+$BL$4*BO13^3+$BL$5*BO13^4</f>
        <v>6.0935099923741659E-3</v>
      </c>
      <c r="BQ13" s="86">
        <f t="shared" ref="BQ13:BQ38" si="25">$BL$6/(AZ13*(BM13/3600)^2)+$BL$7/(AZ13*BM13/3600)</f>
        <v>-1.276686285432051E-3</v>
      </c>
      <c r="BR13" s="87">
        <f t="shared" ref="BR13:BR38" si="26">$BL$8*AZ13*BM13/3600/(AX13+E13)</f>
        <v>-2.1120486321459134E-2</v>
      </c>
      <c r="BS13" s="86">
        <f t="shared" ref="BS13:BS38" si="27">BP13+BQ13+BR13</f>
        <v>-1.6303662614517021E-2</v>
      </c>
      <c r="BT13" s="85">
        <f t="shared" ref="BT13:BT38" si="28">BE13-BE13/100*BS13</f>
        <v>5799.7254135269577</v>
      </c>
      <c r="BU13" s="84">
        <f t="shared" ref="BU13:BU38" si="29">BC13/BT13*3600</f>
        <v>825.64916888316998</v>
      </c>
      <c r="BV13" s="83">
        <f t="shared" ref="BV13:BV38" si="30">BU13/3600*AZ13</f>
        <v>13.404636340515628</v>
      </c>
    </row>
    <row r="14" spans="1:74" s="100" customFormat="1" x14ac:dyDescent="0.25">
      <c r="B14" s="107">
        <v>3</v>
      </c>
      <c r="C14" s="106">
        <v>45239.363206018497</v>
      </c>
      <c r="D14" s="103">
        <v>182.55246</v>
      </c>
      <c r="E14" s="103">
        <v>0.96675839560439703</v>
      </c>
      <c r="F14" s="102">
        <v>19.935926709983999</v>
      </c>
      <c r="G14" s="102">
        <v>27.8421079751486</v>
      </c>
      <c r="H14" s="103">
        <f t="shared" si="0"/>
        <v>13.403205075661248</v>
      </c>
      <c r="I14" s="103">
        <v>62.903857766785798</v>
      </c>
      <c r="J14" s="105">
        <v>1.51794137950494E-5</v>
      </c>
      <c r="K14" s="104">
        <v>273838</v>
      </c>
      <c r="L14" s="103">
        <v>1500.05099903885</v>
      </c>
      <c r="M14" s="102">
        <v>111.89911648897601</v>
      </c>
      <c r="N14" s="103">
        <v>15.000509990388499</v>
      </c>
      <c r="O14" s="102">
        <f t="shared" si="1"/>
        <v>11.917335485881525</v>
      </c>
      <c r="Q14" s="97">
        <f t="shared" si="2"/>
        <v>19.935926709983999</v>
      </c>
      <c r="R14" s="97">
        <f t="shared" si="3"/>
        <v>28.808866370752998</v>
      </c>
      <c r="S14" s="96">
        <v>62.906067643835001</v>
      </c>
      <c r="T14" s="96">
        <v>241.14848460320701</v>
      </c>
      <c r="U14" s="96">
        <v>1.26980035085</v>
      </c>
      <c r="V14" s="67">
        <v>93.14</v>
      </c>
      <c r="W14" s="67">
        <v>44.7</v>
      </c>
      <c r="X14" s="67">
        <f t="shared" si="4"/>
        <v>2.2350000000000002E-2</v>
      </c>
      <c r="Y14" s="67">
        <v>1</v>
      </c>
      <c r="Z14" s="67">
        <f t="shared" si="5"/>
        <v>0.99853124334602816</v>
      </c>
      <c r="AA14" s="96">
        <f t="shared" si="6"/>
        <v>1.0019885195667344</v>
      </c>
      <c r="AB14" s="100">
        <f t="shared" si="7"/>
        <v>15.008262887894347</v>
      </c>
      <c r="AC14" s="101">
        <f t="shared" si="8"/>
        <v>11.975179094645863</v>
      </c>
      <c r="AD14" s="101">
        <f t="shared" si="9"/>
        <v>13.403205075661248</v>
      </c>
      <c r="AE14" s="204"/>
      <c r="AF14" s="204"/>
      <c r="AG14" s="200"/>
      <c r="AH14" s="200"/>
      <c r="AI14" s="200"/>
      <c r="AJ14" s="200"/>
      <c r="AM14" s="101">
        <f t="shared" si="10"/>
        <v>15.030338798015382</v>
      </c>
      <c r="AN14" s="101">
        <f t="shared" si="11"/>
        <v>12.139885297351983</v>
      </c>
      <c r="AO14" s="101">
        <f t="shared" si="12"/>
        <v>13.403205075661248</v>
      </c>
      <c r="AP14" s="204"/>
      <c r="AQ14" s="204"/>
      <c r="AR14" s="200"/>
      <c r="AS14" s="200"/>
      <c r="AT14" s="200"/>
      <c r="AU14" s="200"/>
      <c r="AW14" s="85">
        <v>20.278052647845001</v>
      </c>
      <c r="AX14" s="85">
        <v>26.218883512125998</v>
      </c>
      <c r="AY14" s="92">
        <v>825.80392289831002</v>
      </c>
      <c r="AZ14" s="92">
        <v>58.439289363690499</v>
      </c>
      <c r="BA14" s="94">
        <v>1.51450682348675E-5</v>
      </c>
      <c r="BB14" s="93">
        <v>242828</v>
      </c>
      <c r="BC14" s="92">
        <v>1330.18202000674</v>
      </c>
      <c r="BD14" s="91">
        <f t="shared" si="13"/>
        <v>7394916.6666242797</v>
      </c>
      <c r="BE14" s="90">
        <v>5798.78</v>
      </c>
      <c r="BF14" s="89">
        <f t="shared" si="14"/>
        <v>825.80392289831036</v>
      </c>
      <c r="BG14" s="83">
        <f t="shared" si="15"/>
        <v>0.86893328429245786</v>
      </c>
      <c r="BH14" s="86">
        <f t="shared" si="16"/>
        <v>6.1005436083514664E-3</v>
      </c>
      <c r="BI14" s="86">
        <f t="shared" si="17"/>
        <v>-1.2766075025928963E-3</v>
      </c>
      <c r="BJ14" s="87">
        <f t="shared" si="18"/>
        <v>-2.1112545676763749E-2</v>
      </c>
      <c r="BK14" s="86">
        <f t="shared" si="19"/>
        <v>-1.628860957100518E-2</v>
      </c>
      <c r="BL14" s="88">
        <f t="shared" si="20"/>
        <v>5799.7245406340817</v>
      </c>
      <c r="BM14" s="85">
        <f t="shared" si="21"/>
        <v>825.66943282804982</v>
      </c>
      <c r="BN14" s="150">
        <f t="shared" si="22"/>
        <v>7393712.3336894419</v>
      </c>
      <c r="BO14" s="83">
        <f t="shared" si="23"/>
        <v>0.86886254952061126</v>
      </c>
      <c r="BP14" s="86">
        <f t="shared" si="24"/>
        <v>6.1043018445367803E-3</v>
      </c>
      <c r="BQ14" s="86">
        <f t="shared" si="25"/>
        <v>-1.2768216750105607E-3</v>
      </c>
      <c r="BR14" s="87">
        <f t="shared" si="26"/>
        <v>-2.1109107296692263E-2</v>
      </c>
      <c r="BS14" s="86">
        <f t="shared" si="27"/>
        <v>-1.6281627127166041E-2</v>
      </c>
      <c r="BT14" s="85">
        <f t="shared" si="28"/>
        <v>5799.7241357375242</v>
      </c>
      <c r="BU14" s="84">
        <f t="shared" si="29"/>
        <v>825.66949047056926</v>
      </c>
      <c r="BV14" s="83">
        <f t="shared" si="30"/>
        <v>13.403205075661248</v>
      </c>
    </row>
    <row r="15" spans="1:74" s="100" customFormat="1" x14ac:dyDescent="0.25">
      <c r="B15" s="107">
        <v>4</v>
      </c>
      <c r="C15" s="106">
        <v>45239.3655208333</v>
      </c>
      <c r="D15" s="103">
        <v>182.29329000000001</v>
      </c>
      <c r="E15" s="103">
        <v>0.96672645856353601</v>
      </c>
      <c r="F15" s="102">
        <v>19.967963092215999</v>
      </c>
      <c r="G15" s="102">
        <v>27.851566230596799</v>
      </c>
      <c r="H15" s="103">
        <f t="shared" si="0"/>
        <v>13.403914793562144</v>
      </c>
      <c r="I15" s="103">
        <v>62.916658608916102</v>
      </c>
      <c r="J15" s="105">
        <v>1.5181196662115E-5</v>
      </c>
      <c r="K15" s="104">
        <v>260396</v>
      </c>
      <c r="L15" s="103">
        <v>1428.4453366330699</v>
      </c>
      <c r="M15" s="102">
        <v>106.55192570306799</v>
      </c>
      <c r="N15" s="103">
        <v>14.2844533663307</v>
      </c>
      <c r="O15" s="102">
        <f t="shared" si="1"/>
        <v>6.5692641763992379</v>
      </c>
      <c r="Q15" s="97">
        <f t="shared" si="2"/>
        <v>19.967963092215999</v>
      </c>
      <c r="R15" s="97">
        <f t="shared" si="3"/>
        <v>28.818292689160334</v>
      </c>
      <c r="S15" s="96">
        <v>62.918907362573997</v>
      </c>
      <c r="T15" s="96">
        <v>241.16302595440499</v>
      </c>
      <c r="U15" s="96">
        <v>1.2697972236640001</v>
      </c>
      <c r="V15" s="67">
        <v>93.14</v>
      </c>
      <c r="W15" s="67">
        <v>44.7</v>
      </c>
      <c r="X15" s="67">
        <f t="shared" si="4"/>
        <v>2.2350000000000002E-2</v>
      </c>
      <c r="Y15" s="67">
        <v>1</v>
      </c>
      <c r="Z15" s="67">
        <f t="shared" si="5"/>
        <v>0.99853142020313779</v>
      </c>
      <c r="AA15" s="96">
        <f t="shared" si="6"/>
        <v>1.0019892507522379</v>
      </c>
      <c r="AB15" s="100">
        <f t="shared" si="7"/>
        <v>14.291849136088931</v>
      </c>
      <c r="AC15" s="101">
        <f t="shared" si="8"/>
        <v>6.6244403683710287</v>
      </c>
      <c r="AD15" s="101">
        <f t="shared" si="9"/>
        <v>13.403914793562144</v>
      </c>
      <c r="AE15" s="204"/>
      <c r="AF15" s="204"/>
      <c r="AG15" s="200"/>
      <c r="AH15" s="200"/>
      <c r="AI15" s="200"/>
      <c r="AJ15" s="200"/>
      <c r="AM15" s="101">
        <f t="shared" si="10"/>
        <v>14.31286872593498</v>
      </c>
      <c r="AN15" s="101">
        <f t="shared" si="11"/>
        <v>6.7812571653275713</v>
      </c>
      <c r="AO15" s="101">
        <f t="shared" si="12"/>
        <v>13.403914793562144</v>
      </c>
      <c r="AP15" s="204"/>
      <c r="AQ15" s="204"/>
      <c r="AR15" s="200"/>
      <c r="AS15" s="200"/>
      <c r="AT15" s="200"/>
      <c r="AU15" s="200"/>
      <c r="AW15" s="85">
        <v>20.330746888762</v>
      </c>
      <c r="AX15" s="85">
        <v>26.2284249531425</v>
      </c>
      <c r="AY15" s="92">
        <v>825.75877563173196</v>
      </c>
      <c r="AZ15" s="92">
        <v>58.445573626189699</v>
      </c>
      <c r="BA15" s="94">
        <v>1.51478217276544E-5</v>
      </c>
      <c r="BB15" s="93">
        <v>242470</v>
      </c>
      <c r="BC15" s="92">
        <v>1330.10929804383</v>
      </c>
      <c r="BD15" s="91">
        <f t="shared" si="13"/>
        <v>7393963.2687238231</v>
      </c>
      <c r="BE15" s="90">
        <v>5798.78</v>
      </c>
      <c r="BF15" s="89">
        <f t="shared" si="14"/>
        <v>825.75877563173424</v>
      </c>
      <c r="BG15" s="83">
        <f t="shared" si="15"/>
        <v>0.86887728878101822</v>
      </c>
      <c r="BH15" s="86">
        <f t="shared" si="16"/>
        <v>6.1035185157590488E-3</v>
      </c>
      <c r="BI15" s="86">
        <f t="shared" si="17"/>
        <v>-1.2765421177813028E-3</v>
      </c>
      <c r="BJ15" s="87">
        <f t="shared" si="18"/>
        <v>-2.1106278700323639E-2</v>
      </c>
      <c r="BK15" s="86">
        <f t="shared" si="19"/>
        <v>-1.6279302302345894E-2</v>
      </c>
      <c r="BL15" s="88">
        <f t="shared" si="20"/>
        <v>5799.7240009260477</v>
      </c>
      <c r="BM15" s="85">
        <f t="shared" si="21"/>
        <v>825.62436974470177</v>
      </c>
      <c r="BN15" s="150">
        <f t="shared" si="22"/>
        <v>7392759.7790109115</v>
      </c>
      <c r="BO15" s="83">
        <f t="shared" si="23"/>
        <v>0.86880659442354469</v>
      </c>
      <c r="BP15" s="86">
        <f t="shared" si="24"/>
        <v>6.1072766326326078E-3</v>
      </c>
      <c r="BQ15" s="86">
        <f t="shared" si="25"/>
        <v>-1.2767561571879445E-3</v>
      </c>
      <c r="BR15" s="87">
        <f t="shared" si="26"/>
        <v>-2.1102843304667683E-2</v>
      </c>
      <c r="BS15" s="86">
        <f t="shared" si="27"/>
        <v>-1.6272322829223019E-2</v>
      </c>
      <c r="BT15" s="85">
        <f t="shared" si="28"/>
        <v>5799.7235962017558</v>
      </c>
      <c r="BU15" s="84">
        <f t="shared" si="29"/>
        <v>825.62442735955744</v>
      </c>
      <c r="BV15" s="83">
        <f t="shared" si="30"/>
        <v>13.403914793562144</v>
      </c>
    </row>
    <row r="16" spans="1:74" s="100" customFormat="1" x14ac:dyDescent="0.25">
      <c r="B16" s="107">
        <v>6</v>
      </c>
      <c r="C16" s="106">
        <v>45239.375636574099</v>
      </c>
      <c r="D16" s="103">
        <v>182.31773000000001</v>
      </c>
      <c r="E16" s="103">
        <v>0.96669632417582196</v>
      </c>
      <c r="F16" s="102">
        <v>20.054212438558</v>
      </c>
      <c r="G16" s="102">
        <v>27.718189806160201</v>
      </c>
      <c r="H16" s="103">
        <f t="shared" si="0"/>
        <v>11.543779790584123</v>
      </c>
      <c r="I16" s="103">
        <v>62.520565353139901</v>
      </c>
      <c r="J16" s="105">
        <v>1.5180910493389E-5</v>
      </c>
      <c r="K16" s="104">
        <v>211490</v>
      </c>
      <c r="L16" s="103">
        <v>1160.0078610017799</v>
      </c>
      <c r="M16" s="102">
        <v>100.478764884041</v>
      </c>
      <c r="N16" s="103">
        <v>11.6000786100178</v>
      </c>
      <c r="O16" s="102">
        <f t="shared" si="1"/>
        <v>0.48769831420032372</v>
      </c>
      <c r="Q16" s="97">
        <f t="shared" si="2"/>
        <v>20.054212438558</v>
      </c>
      <c r="R16" s="97">
        <f t="shared" si="3"/>
        <v>28.684886130336022</v>
      </c>
      <c r="S16" s="96">
        <v>62.522668755460998</v>
      </c>
      <c r="T16" s="96">
        <v>241.37001462534599</v>
      </c>
      <c r="U16" s="96">
        <v>1.269845869689</v>
      </c>
      <c r="V16" s="67">
        <v>93.14</v>
      </c>
      <c r="W16" s="67">
        <v>44.7</v>
      </c>
      <c r="X16" s="67">
        <f t="shared" si="4"/>
        <v>2.2350000000000002E-2</v>
      </c>
      <c r="Y16" s="67">
        <v>1</v>
      </c>
      <c r="Z16" s="67">
        <f t="shared" si="5"/>
        <v>0.998533934215313</v>
      </c>
      <c r="AA16" s="96">
        <f t="shared" si="6"/>
        <v>1.0019789399738694</v>
      </c>
      <c r="AB16" s="100">
        <f t="shared" si="7"/>
        <v>11.605994336129545</v>
      </c>
      <c r="AC16" s="101">
        <f t="shared" si="8"/>
        <v>0.5389443204397194</v>
      </c>
      <c r="AD16" s="101">
        <f t="shared" si="9"/>
        <v>11.543779790584123</v>
      </c>
      <c r="AE16" s="204"/>
      <c r="AF16" s="204"/>
      <c r="AG16" s="200">
        <f>STDEV(AC16:AC19)</f>
        <v>0.80964743036373787</v>
      </c>
      <c r="AH16" s="200"/>
      <c r="AI16" s="200"/>
      <c r="AJ16" s="200"/>
      <c r="AM16" s="101">
        <f t="shared" si="10"/>
        <v>11.623034469279192</v>
      </c>
      <c r="AN16" s="101">
        <f t="shared" si="11"/>
        <v>0.68655743727642959</v>
      </c>
      <c r="AO16" s="101">
        <f t="shared" si="12"/>
        <v>11.543779790584123</v>
      </c>
      <c r="AP16" s="204"/>
      <c r="AQ16" s="204"/>
      <c r="AR16" s="200">
        <f>STDEV(AN16:AN19)</f>
        <v>0.81083315802009204</v>
      </c>
      <c r="AS16" s="200"/>
      <c r="AT16" s="200"/>
      <c r="AU16" s="200"/>
      <c r="AW16" s="85">
        <v>20.366643024872999</v>
      </c>
      <c r="AX16" s="85">
        <v>26.540952822445401</v>
      </c>
      <c r="AY16" s="92">
        <v>701.39395298515001</v>
      </c>
      <c r="AZ16" s="92">
        <v>59.255289982878303</v>
      </c>
      <c r="BA16" s="94">
        <v>1.5158880674109701E-5</v>
      </c>
      <c r="BB16" s="93">
        <v>205980</v>
      </c>
      <c r="BC16" s="92">
        <v>1129.7858963031199</v>
      </c>
      <c r="BD16" s="91">
        <f t="shared" si="13"/>
        <v>6362747.0995654818</v>
      </c>
      <c r="BE16" s="90">
        <v>5798.78</v>
      </c>
      <c r="BF16" s="89">
        <f t="shared" si="14"/>
        <v>701.39395298515069</v>
      </c>
      <c r="BG16" s="83">
        <f t="shared" si="15"/>
        <v>0.8036446616542775</v>
      </c>
      <c r="BH16" s="86">
        <f t="shared" si="16"/>
        <v>1.056414269055115E-2</v>
      </c>
      <c r="BI16" s="86">
        <f t="shared" si="17"/>
        <v>-1.4902250698170421E-3</v>
      </c>
      <c r="BJ16" s="87">
        <f t="shared" si="18"/>
        <v>-1.7969417334494992E-2</v>
      </c>
      <c r="BK16" s="86">
        <f t="shared" si="19"/>
        <v>-8.8954997137608849E-3</v>
      </c>
      <c r="BL16" s="88">
        <f t="shared" si="20"/>
        <v>5799.2958304583017</v>
      </c>
      <c r="BM16" s="85">
        <f t="shared" si="21"/>
        <v>701.33156603770124</v>
      </c>
      <c r="BN16" s="150">
        <f t="shared" si="22"/>
        <v>6362181.1517593376</v>
      </c>
      <c r="BO16" s="83">
        <f t="shared" si="23"/>
        <v>0.80360603070806524</v>
      </c>
      <c r="BP16" s="86">
        <f t="shared" si="24"/>
        <v>1.0567317465679904E-2</v>
      </c>
      <c r="BQ16" s="86">
        <f t="shared" si="25"/>
        <v>-1.4903622844238567E-3</v>
      </c>
      <c r="BR16" s="87">
        <f t="shared" si="26"/>
        <v>-1.7967819007206634E-2</v>
      </c>
      <c r="BS16" s="86">
        <f t="shared" si="27"/>
        <v>-8.8908638259505863E-3</v>
      </c>
      <c r="BT16" s="85">
        <f t="shared" si="28"/>
        <v>5799.2955616333666</v>
      </c>
      <c r="BU16" s="84">
        <f t="shared" si="29"/>
        <v>701.33159854775545</v>
      </c>
      <c r="BV16" s="83">
        <f t="shared" si="30"/>
        <v>11.543779790584123</v>
      </c>
    </row>
    <row r="17" spans="2:74" s="100" customFormat="1" x14ac:dyDescent="0.25">
      <c r="B17" s="107">
        <v>7</v>
      </c>
      <c r="C17" s="106">
        <v>45239.378009259301</v>
      </c>
      <c r="D17" s="103">
        <v>182.30126999999999</v>
      </c>
      <c r="E17" s="103">
        <v>0.96664069613259795</v>
      </c>
      <c r="F17" s="102">
        <v>20.016758420382999</v>
      </c>
      <c r="G17" s="102">
        <v>27.7093388023134</v>
      </c>
      <c r="H17" s="103">
        <f t="shared" si="0"/>
        <v>11.543117579962098</v>
      </c>
      <c r="I17" s="103">
        <v>62.511226746025798</v>
      </c>
      <c r="J17" s="105">
        <v>1.51788933007274E-5</v>
      </c>
      <c r="K17" s="104">
        <v>210842</v>
      </c>
      <c r="L17" s="103">
        <v>1156.5580426291101</v>
      </c>
      <c r="M17" s="102">
        <v>100.18568480742</v>
      </c>
      <c r="N17" s="103">
        <v>11.565580426291101</v>
      </c>
      <c r="O17" s="102">
        <f t="shared" si="1"/>
        <v>0.19459947603753139</v>
      </c>
      <c r="Q17" s="97">
        <f t="shared" si="2"/>
        <v>20.016758420382999</v>
      </c>
      <c r="R17" s="97">
        <f t="shared" si="3"/>
        <v>28.675979498445997</v>
      </c>
      <c r="S17" s="96">
        <v>62.513323661104003</v>
      </c>
      <c r="T17" s="96">
        <v>241.35086767757201</v>
      </c>
      <c r="U17" s="96">
        <v>1.269848930432</v>
      </c>
      <c r="V17" s="67">
        <v>93.14</v>
      </c>
      <c r="W17" s="67">
        <v>44.7</v>
      </c>
      <c r="X17" s="67">
        <f t="shared" si="4"/>
        <v>2.2350000000000002E-2</v>
      </c>
      <c r="Y17" s="67">
        <v>1</v>
      </c>
      <c r="Z17" s="67">
        <f t="shared" si="5"/>
        <v>0.99853370193409419</v>
      </c>
      <c r="AA17" s="96">
        <f t="shared" si="6"/>
        <v>1.0019782557469681</v>
      </c>
      <c r="AB17" s="100">
        <f t="shared" si="7"/>
        <v>11.571467965601697</v>
      </c>
      <c r="AC17" s="101">
        <f t="shared" si="8"/>
        <v>0.24560423510553217</v>
      </c>
      <c r="AD17" s="101">
        <f t="shared" si="9"/>
        <v>11.543117579962098</v>
      </c>
      <c r="AE17" s="204"/>
      <c r="AF17" s="204"/>
      <c r="AG17" s="200"/>
      <c r="AH17" s="200"/>
      <c r="AI17" s="200"/>
      <c r="AJ17" s="200"/>
      <c r="AM17" s="101">
        <f t="shared" si="10"/>
        <v>11.588460102236432</v>
      </c>
      <c r="AN17" s="101">
        <f t="shared" si="11"/>
        <v>0.39281001826616285</v>
      </c>
      <c r="AO17" s="101">
        <f t="shared" si="12"/>
        <v>11.543117579962098</v>
      </c>
      <c r="AP17" s="204"/>
      <c r="AQ17" s="204"/>
      <c r="AR17" s="200"/>
      <c r="AS17" s="200"/>
      <c r="AT17" s="200"/>
      <c r="AU17" s="200"/>
      <c r="AW17" s="85">
        <v>20.331540491180998</v>
      </c>
      <c r="AX17" s="85">
        <v>26.5321546029658</v>
      </c>
      <c r="AY17" s="92">
        <v>701.48112015714105</v>
      </c>
      <c r="AZ17" s="92">
        <v>59.244532373214597</v>
      </c>
      <c r="BA17" s="94">
        <v>1.5156970967933401E-5</v>
      </c>
      <c r="BB17" s="93">
        <v>205987</v>
      </c>
      <c r="BC17" s="92">
        <v>1129.92630276245</v>
      </c>
      <c r="BD17" s="91">
        <f t="shared" si="13"/>
        <v>6363184.1928400742</v>
      </c>
      <c r="BE17" s="90">
        <v>5798.78</v>
      </c>
      <c r="BF17" s="89">
        <f t="shared" si="14"/>
        <v>701.48112015713991</v>
      </c>
      <c r="BG17" s="83">
        <f t="shared" si="15"/>
        <v>0.80367449478679176</v>
      </c>
      <c r="BH17" s="86">
        <f t="shared" si="16"/>
        <v>1.0561691326642614E-2</v>
      </c>
      <c r="BI17" s="86">
        <f t="shared" si="17"/>
        <v>-1.4903039554924578E-3</v>
      </c>
      <c r="BJ17" s="87">
        <f t="shared" si="18"/>
        <v>-1.7974173145919939E-2</v>
      </c>
      <c r="BK17" s="86">
        <f t="shared" si="19"/>
        <v>-8.9027857747697829E-3</v>
      </c>
      <c r="BL17" s="88">
        <f t="shared" si="20"/>
        <v>5799.2962529609504</v>
      </c>
      <c r="BM17" s="85">
        <f t="shared" si="21"/>
        <v>701.41867435517781</v>
      </c>
      <c r="BN17" s="150">
        <f t="shared" si="22"/>
        <v>6362617.742612781</v>
      </c>
      <c r="BO17" s="83">
        <f t="shared" si="23"/>
        <v>0.80363583220043433</v>
      </c>
      <c r="BP17" s="86">
        <f t="shared" si="24"/>
        <v>1.0564868264307865E-2</v>
      </c>
      <c r="BQ17" s="86">
        <f t="shared" si="25"/>
        <v>-1.4904412891995832E-3</v>
      </c>
      <c r="BR17" s="87">
        <f t="shared" si="26"/>
        <v>-1.7972573086239858E-2</v>
      </c>
      <c r="BS17" s="86">
        <f t="shared" si="27"/>
        <v>-8.8981461111315753E-3</v>
      </c>
      <c r="BT17" s="85">
        <f t="shared" si="28"/>
        <v>5799.2959839170626</v>
      </c>
      <c r="BU17" s="84">
        <f t="shared" si="29"/>
        <v>701.41870689574955</v>
      </c>
      <c r="BV17" s="83">
        <f t="shared" si="30"/>
        <v>11.543117579962098</v>
      </c>
    </row>
    <row r="18" spans="2:74" s="100" customFormat="1" x14ac:dyDescent="0.25">
      <c r="B18" s="107">
        <v>8</v>
      </c>
      <c r="C18" s="106">
        <v>45239.380312499998</v>
      </c>
      <c r="D18" s="103">
        <v>182.68286000000001</v>
      </c>
      <c r="E18" s="103">
        <v>0.96661237912087905</v>
      </c>
      <c r="F18" s="102">
        <v>20.022526842142</v>
      </c>
      <c r="G18" s="102">
        <v>27.706365933797599</v>
      </c>
      <c r="H18" s="103">
        <f t="shared" si="0"/>
        <v>11.541858212796599</v>
      </c>
      <c r="I18" s="103">
        <v>62.500713288793598</v>
      </c>
      <c r="J18" s="105">
        <v>1.51790630927709E-5</v>
      </c>
      <c r="K18" s="104">
        <v>214896</v>
      </c>
      <c r="L18" s="103">
        <v>1176.3336746534401</v>
      </c>
      <c r="M18" s="102">
        <v>101.909850542176</v>
      </c>
      <c r="N18" s="103">
        <v>11.763336746534399</v>
      </c>
      <c r="O18" s="102">
        <f t="shared" si="1"/>
        <v>1.9189157383015161</v>
      </c>
      <c r="Q18" s="97">
        <f t="shared" si="2"/>
        <v>20.022526842142</v>
      </c>
      <c r="R18" s="97">
        <f t="shared" si="3"/>
        <v>28.672978312918477</v>
      </c>
      <c r="S18" s="96">
        <v>62.502916334632999</v>
      </c>
      <c r="T18" s="96">
        <v>241.35843563515101</v>
      </c>
      <c r="U18" s="96">
        <v>1.2698500488440001</v>
      </c>
      <c r="V18" s="67">
        <v>93.14</v>
      </c>
      <c r="W18" s="67">
        <v>44.7</v>
      </c>
      <c r="X18" s="67">
        <f t="shared" si="4"/>
        <v>2.2350000000000002E-2</v>
      </c>
      <c r="Y18" s="67">
        <v>1</v>
      </c>
      <c r="Z18" s="67">
        <f t="shared" si="5"/>
        <v>0.99853379375137419</v>
      </c>
      <c r="AA18" s="96">
        <f t="shared" si="6"/>
        <v>1.0019780259295608</v>
      </c>
      <c r="AB18" s="100">
        <f t="shared" si="7"/>
        <v>11.769323337836349</v>
      </c>
      <c r="AC18" s="101">
        <f t="shared" si="8"/>
        <v>1.9707842606102743</v>
      </c>
      <c r="AD18" s="101">
        <f t="shared" si="9"/>
        <v>11.541858212796599</v>
      </c>
      <c r="AE18" s="204"/>
      <c r="AF18" s="204"/>
      <c r="AG18" s="200"/>
      <c r="AH18" s="200"/>
      <c r="AI18" s="200"/>
      <c r="AJ18" s="200"/>
      <c r="AM18" s="101">
        <f t="shared" si="10"/>
        <v>11.7866049316372</v>
      </c>
      <c r="AN18" s="101">
        <f t="shared" si="11"/>
        <v>2.1205139963445991</v>
      </c>
      <c r="AO18" s="101">
        <f t="shared" si="12"/>
        <v>11.541858212796599</v>
      </c>
      <c r="AP18" s="204"/>
      <c r="AQ18" s="204"/>
      <c r="AR18" s="200"/>
      <c r="AS18" s="200"/>
      <c r="AT18" s="200"/>
      <c r="AU18" s="200"/>
      <c r="AW18" s="85">
        <v>20.321562239634002</v>
      </c>
      <c r="AX18" s="85">
        <v>26.529759770634101</v>
      </c>
      <c r="AY18" s="92">
        <v>701.43636872455602</v>
      </c>
      <c r="AZ18" s="92">
        <v>59.241846418461897</v>
      </c>
      <c r="BA18" s="94">
        <v>1.51564323579593E-5</v>
      </c>
      <c r="BB18" s="93">
        <v>206405</v>
      </c>
      <c r="BC18" s="92">
        <v>1129.85421839794</v>
      </c>
      <c r="BD18" s="91">
        <f t="shared" si="13"/>
        <v>6362715.8838159144</v>
      </c>
      <c r="BE18" s="90">
        <v>5798.78</v>
      </c>
      <c r="BF18" s="89">
        <f t="shared" si="14"/>
        <v>701.43636872455659</v>
      </c>
      <c r="BG18" s="83">
        <f t="shared" si="15"/>
        <v>0.80364253099265781</v>
      </c>
      <c r="BH18" s="86">
        <f t="shared" si="16"/>
        <v>1.0564317778190543E-2</v>
      </c>
      <c r="BI18" s="86">
        <f t="shared" si="17"/>
        <v>-1.4904699454223172E-3</v>
      </c>
      <c r="BJ18" s="87">
        <f t="shared" si="18"/>
        <v>-1.7973795455255997E-2</v>
      </c>
      <c r="BK18" s="86">
        <f t="shared" si="19"/>
        <v>-8.8999476224877715E-3</v>
      </c>
      <c r="BL18" s="88">
        <f t="shared" si="20"/>
        <v>5799.2960883827427</v>
      </c>
      <c r="BM18" s="85">
        <f t="shared" si="21"/>
        <v>701.37394681065268</v>
      </c>
      <c r="BN18" s="150">
        <f t="shared" si="22"/>
        <v>6362149.655828882</v>
      </c>
      <c r="BO18" s="83">
        <f t="shared" si="23"/>
        <v>0.80360388073114219</v>
      </c>
      <c r="BP18" s="86">
        <f t="shared" si="24"/>
        <v>1.0567494172100296E-2</v>
      </c>
      <c r="BQ18" s="86">
        <f t="shared" si="25"/>
        <v>-1.4906072509260433E-3</v>
      </c>
      <c r="BR18" s="87">
        <f t="shared" si="26"/>
        <v>-1.7972195939230794E-2</v>
      </c>
      <c r="BS18" s="86">
        <f t="shared" si="27"/>
        <v>-8.8953090180565412E-3</v>
      </c>
      <c r="BT18" s="85">
        <f t="shared" si="28"/>
        <v>5799.2958194002767</v>
      </c>
      <c r="BU18" s="84">
        <f t="shared" si="29"/>
        <v>701.37397934172191</v>
      </c>
      <c r="BV18" s="83">
        <f t="shared" si="30"/>
        <v>11.541858212796599</v>
      </c>
    </row>
    <row r="19" spans="2:74" s="100" customFormat="1" x14ac:dyDescent="0.25">
      <c r="B19" s="107">
        <v>9</v>
      </c>
      <c r="C19" s="106">
        <v>45239.382789351897</v>
      </c>
      <c r="D19" s="103">
        <v>182.7577</v>
      </c>
      <c r="E19" s="103">
        <v>0.96660784065934202</v>
      </c>
      <c r="F19" s="102">
        <v>20.000600316981</v>
      </c>
      <c r="G19" s="102">
        <v>27.7010800745465</v>
      </c>
      <c r="H19" s="103">
        <f t="shared" si="0"/>
        <v>11.539654277324971</v>
      </c>
      <c r="I19" s="103">
        <v>62.495009467340303</v>
      </c>
      <c r="J19" s="105">
        <v>1.51778793604001E-5</v>
      </c>
      <c r="K19" s="104">
        <v>211478</v>
      </c>
      <c r="L19" s="103">
        <v>1157.1496029989401</v>
      </c>
      <c r="M19" s="102">
        <v>100.26701936638101</v>
      </c>
      <c r="N19" s="103">
        <v>11.571496029989399</v>
      </c>
      <c r="O19" s="102">
        <f t="shared" si="1"/>
        <v>0.27593333300284856</v>
      </c>
      <c r="Q19" s="97">
        <f t="shared" si="2"/>
        <v>20.000600316981</v>
      </c>
      <c r="R19" s="97">
        <f t="shared" si="3"/>
        <v>28.667687915205843</v>
      </c>
      <c r="S19" s="96">
        <v>62.497236058464999</v>
      </c>
      <c r="T19" s="96">
        <v>241.347308620642</v>
      </c>
      <c r="U19" s="96">
        <v>1.2698518716980001</v>
      </c>
      <c r="V19" s="67">
        <v>93.14</v>
      </c>
      <c r="W19" s="67">
        <v>44.7</v>
      </c>
      <c r="X19" s="67">
        <f t="shared" si="4"/>
        <v>2.2350000000000002E-2</v>
      </c>
      <c r="Y19" s="67">
        <v>1</v>
      </c>
      <c r="Z19" s="67">
        <f t="shared" si="5"/>
        <v>0.99853365875130962</v>
      </c>
      <c r="AA19" s="96">
        <f t="shared" si="6"/>
        <v>1.0019776173068153</v>
      </c>
      <c r="AB19" s="100">
        <f t="shared" si="7"/>
        <v>11.577378703126554</v>
      </c>
      <c r="AC19" s="101">
        <f t="shared" si="8"/>
        <v>0.32691123057048954</v>
      </c>
      <c r="AD19" s="101">
        <f t="shared" si="9"/>
        <v>11.539654277324971</v>
      </c>
      <c r="AE19" s="204"/>
      <c r="AF19" s="204"/>
      <c r="AG19" s="200"/>
      <c r="AH19" s="200"/>
      <c r="AI19" s="200"/>
      <c r="AJ19" s="200"/>
      <c r="AM19" s="101">
        <f t="shared" si="10"/>
        <v>11.594380020804051</v>
      </c>
      <c r="AN19" s="101">
        <f t="shared" si="11"/>
        <v>0.47424075421925477</v>
      </c>
      <c r="AO19" s="101">
        <f t="shared" si="12"/>
        <v>11.539654277324971</v>
      </c>
      <c r="AP19" s="204"/>
      <c r="AQ19" s="204"/>
      <c r="AR19" s="200"/>
      <c r="AS19" s="200"/>
      <c r="AT19" s="200"/>
      <c r="AU19" s="200"/>
      <c r="AW19" s="85">
        <v>20.310537180381999</v>
      </c>
      <c r="AX19" s="85">
        <v>26.524706316723901</v>
      </c>
      <c r="AY19" s="92">
        <v>701.41409048950197</v>
      </c>
      <c r="AZ19" s="92">
        <v>59.232412361497502</v>
      </c>
      <c r="BA19" s="94">
        <v>1.5155763244635401E-5</v>
      </c>
      <c r="BB19" s="93">
        <v>206483</v>
      </c>
      <c r="BC19" s="92">
        <v>1129.8183332357501</v>
      </c>
      <c r="BD19" s="91">
        <f t="shared" si="13"/>
        <v>6361781.4448221698</v>
      </c>
      <c r="BE19" s="90">
        <v>5798.78</v>
      </c>
      <c r="BF19" s="89">
        <f t="shared" si="14"/>
        <v>701.41409048949959</v>
      </c>
      <c r="BG19" s="83">
        <f t="shared" si="15"/>
        <v>0.80357874510172522</v>
      </c>
      <c r="BH19" s="86">
        <f t="shared" si="16"/>
        <v>1.0569560197520152E-2</v>
      </c>
      <c r="BI19" s="86">
        <f t="shared" si="17"/>
        <v>-1.4907563442726676E-3</v>
      </c>
      <c r="BJ19" s="87">
        <f t="shared" si="18"/>
        <v>-1.7973668697585748E-2</v>
      </c>
      <c r="BK19" s="86">
        <f t="shared" si="19"/>
        <v>-8.8948648443382631E-3</v>
      </c>
      <c r="BL19" s="88">
        <f t="shared" si="20"/>
        <v>5799.2957936436205</v>
      </c>
      <c r="BM19" s="85">
        <f t="shared" si="21"/>
        <v>701.35170620314932</v>
      </c>
      <c r="BN19" s="150">
        <f t="shared" si="22"/>
        <v>6361215.623290021</v>
      </c>
      <c r="BO19" s="83">
        <f t="shared" si="23"/>
        <v>0.80354011691247074</v>
      </c>
      <c r="BP19" s="86">
        <f t="shared" si="24"/>
        <v>1.0572735712616271E-2</v>
      </c>
      <c r="BQ19" s="86">
        <f t="shared" si="25"/>
        <v>-1.4908935978719491E-3</v>
      </c>
      <c r="BR19" s="87">
        <f t="shared" si="26"/>
        <v>-1.7972070106240065E-2</v>
      </c>
      <c r="BS19" s="86">
        <f t="shared" si="27"/>
        <v>-8.8902279914957437E-3</v>
      </c>
      <c r="BT19" s="85">
        <f t="shared" si="28"/>
        <v>5799.2955247627251</v>
      </c>
      <c r="BU19" s="84">
        <f t="shared" si="29"/>
        <v>701.3517387209049</v>
      </c>
      <c r="BV19" s="83">
        <f t="shared" si="30"/>
        <v>11.539654277324971</v>
      </c>
    </row>
    <row r="20" spans="2:74" s="100" customFormat="1" x14ac:dyDescent="0.25">
      <c r="B20" s="107">
        <v>11</v>
      </c>
      <c r="C20" s="106">
        <v>45239.393263888902</v>
      </c>
      <c r="D20" s="103">
        <v>183.54912999999999</v>
      </c>
      <c r="E20" s="103">
        <v>0.96659988461538604</v>
      </c>
      <c r="F20" s="102">
        <v>20.026994028333998</v>
      </c>
      <c r="G20" s="102">
        <v>27.581058445475101</v>
      </c>
      <c r="H20" s="103">
        <f t="shared" si="0"/>
        <v>9.8279287169483034</v>
      </c>
      <c r="I20" s="103">
        <v>62.159943348973698</v>
      </c>
      <c r="J20" s="105">
        <v>1.5175279824291799E-5</v>
      </c>
      <c r="K20" s="104">
        <v>180792</v>
      </c>
      <c r="L20" s="103">
        <v>984.97879014735702</v>
      </c>
      <c r="M20" s="102">
        <v>100.22259762008601</v>
      </c>
      <c r="N20" s="103">
        <v>9.8497879014735705</v>
      </c>
      <c r="O20" s="102">
        <f t="shared" si="1"/>
        <v>0.22241903818014966</v>
      </c>
      <c r="Q20" s="97">
        <f t="shared" si="2"/>
        <v>20.026994028333998</v>
      </c>
      <c r="R20" s="97">
        <f t="shared" si="3"/>
        <v>28.547658330090488</v>
      </c>
      <c r="S20" s="96">
        <v>62.162094197313998</v>
      </c>
      <c r="T20" s="96">
        <v>241.494084599666</v>
      </c>
      <c r="U20" s="96">
        <v>1.269895958839</v>
      </c>
      <c r="V20" s="67">
        <v>93.14</v>
      </c>
      <c r="W20" s="67">
        <v>44.7</v>
      </c>
      <c r="X20" s="67">
        <f t="shared" si="4"/>
        <v>2.2350000000000002E-2</v>
      </c>
      <c r="Y20" s="67">
        <v>1</v>
      </c>
      <c r="Z20" s="67">
        <f t="shared" si="5"/>
        <v>0.99853543803427203</v>
      </c>
      <c r="AA20" s="96">
        <f t="shared" si="6"/>
        <v>1.0019683391381933</v>
      </c>
      <c r="AB20" s="100">
        <f t="shared" si="7"/>
        <v>9.8547216052502069</v>
      </c>
      <c r="AC20" s="101">
        <f t="shared" si="8"/>
        <v>0.27261988841757745</v>
      </c>
      <c r="AD20" s="101">
        <f t="shared" si="9"/>
        <v>9.8279287169483034</v>
      </c>
      <c r="AE20" s="209">
        <f>AVERAGE(AD20:AD22)</f>
        <v>9.8261757483839318</v>
      </c>
      <c r="AF20" s="209">
        <f>AVERAGE(AC20:AC22)</f>
        <v>0.28258620964208941</v>
      </c>
      <c r="AG20" s="200">
        <f>STDEV(AC20:AC22)</f>
        <v>0.10567017871253828</v>
      </c>
      <c r="AH20" s="200">
        <f>AG20*4.303/SQRT(2)</f>
        <v>0.32152059002818023</v>
      </c>
      <c r="AI20" s="200">
        <v>0.25</v>
      </c>
      <c r="AJ20" s="200">
        <f>SQRT(AI20^2+AH20^2)</f>
        <v>0.40727814796778522</v>
      </c>
      <c r="AM20" s="101">
        <f t="shared" si="10"/>
        <v>9.8691756245029438</v>
      </c>
      <c r="AN20" s="101">
        <f t="shared" si="11"/>
        <v>0.41969074809740919</v>
      </c>
      <c r="AO20" s="101">
        <f t="shared" si="12"/>
        <v>9.8279287169483034</v>
      </c>
      <c r="AP20" s="209">
        <f>AVERAGE(AO20:AO22)</f>
        <v>9.8261757483839318</v>
      </c>
      <c r="AQ20" s="209">
        <f>AVERAGE(AN20:AN22)</f>
        <v>0.42965497341063424</v>
      </c>
      <c r="AR20" s="200">
        <f>STDEV(AN20:AN22)</f>
        <v>0.10581010636587547</v>
      </c>
      <c r="AS20" s="200">
        <f>AR20*4.303/SQRT(2)</f>
        <v>0.32194634516752396</v>
      </c>
      <c r="AT20" s="200">
        <v>0.25</v>
      </c>
      <c r="AU20" s="200">
        <f>SQRT(AT20^2+AS20^2)</f>
        <v>0.40761433876487524</v>
      </c>
      <c r="AW20" s="85">
        <v>20.212649288914999</v>
      </c>
      <c r="AX20" s="85">
        <v>26.740153211068002</v>
      </c>
      <c r="AY20" s="92">
        <v>591.26855058880597</v>
      </c>
      <c r="AZ20" s="92">
        <v>59.8382584408795</v>
      </c>
      <c r="BA20" s="94">
        <v>1.5157732223823199E-5</v>
      </c>
      <c r="BB20" s="93">
        <v>174812</v>
      </c>
      <c r="BC20" s="92">
        <v>952.39895716204205</v>
      </c>
      <c r="BD20" s="91">
        <f t="shared" si="13"/>
        <v>5416916.548929397</v>
      </c>
      <c r="BE20" s="90">
        <v>5798.78</v>
      </c>
      <c r="BF20" s="89">
        <f t="shared" si="14"/>
        <v>591.26855058880517</v>
      </c>
      <c r="BG20" s="83">
        <f t="shared" si="15"/>
        <v>0.73375214505394837</v>
      </c>
      <c r="BH20" s="86">
        <f t="shared" si="16"/>
        <v>1.7127445532237259E-2</v>
      </c>
      <c r="BI20" s="86">
        <f t="shared" si="17"/>
        <v>-1.7620011282800348E-3</v>
      </c>
      <c r="BJ20" s="87">
        <f t="shared" si="18"/>
        <v>-1.5187154692736751E-2</v>
      </c>
      <c r="BK20" s="86">
        <f t="shared" si="19"/>
        <v>1.7828971122047302E-4</v>
      </c>
      <c r="BL20" s="88">
        <f t="shared" si="20"/>
        <v>5798.7696613718836</v>
      </c>
      <c r="BM20" s="85">
        <f t="shared" si="21"/>
        <v>591.26960476167596</v>
      </c>
      <c r="BN20" s="150">
        <f t="shared" si="22"/>
        <v>5416926.2067514881</v>
      </c>
      <c r="BO20" s="83">
        <f t="shared" si="23"/>
        <v>0.73375291935701625</v>
      </c>
      <c r="BP20" s="86">
        <f t="shared" si="24"/>
        <v>1.7127364896765904E-2</v>
      </c>
      <c r="BQ20" s="86">
        <f t="shared" si="25"/>
        <v>-1.7619978569084875E-3</v>
      </c>
      <c r="BR20" s="87">
        <f t="shared" si="26"/>
        <v>-1.518718176991927E-2</v>
      </c>
      <c r="BS20" s="86">
        <f t="shared" si="27"/>
        <v>1.781852699381456E-4</v>
      </c>
      <c r="BT20" s="85">
        <f t="shared" si="28"/>
        <v>5798.7696674282033</v>
      </c>
      <c r="BU20" s="84">
        <f t="shared" si="29"/>
        <v>591.26960414414543</v>
      </c>
      <c r="BV20" s="83">
        <f t="shared" si="30"/>
        <v>9.8279287169483034</v>
      </c>
    </row>
    <row r="21" spans="2:74" s="100" customFormat="1" x14ac:dyDescent="0.25">
      <c r="B21" s="107">
        <v>12</v>
      </c>
      <c r="C21" s="106">
        <v>45239.395601851902</v>
      </c>
      <c r="D21" s="103">
        <v>183.48159000000001</v>
      </c>
      <c r="E21" s="103">
        <v>0.96658892857142897</v>
      </c>
      <c r="F21" s="102">
        <v>20.032649561976999</v>
      </c>
      <c r="G21" s="102">
        <v>27.576457024261501</v>
      </c>
      <c r="H21" s="103">
        <f t="shared" si="0"/>
        <v>9.8259885623486909</v>
      </c>
      <c r="I21" s="103">
        <v>62.145321873494098</v>
      </c>
      <c r="J21" s="105">
        <v>1.5175395980775299E-5</v>
      </c>
      <c r="K21" s="104">
        <v>180527</v>
      </c>
      <c r="L21" s="103">
        <v>983.89707654048595</v>
      </c>
      <c r="M21" s="102">
        <v>100.132311500236</v>
      </c>
      <c r="N21" s="103">
        <v>9.8389707654048593</v>
      </c>
      <c r="O21" s="102">
        <f t="shared" si="1"/>
        <v>0.13212108861915117</v>
      </c>
      <c r="Q21" s="97">
        <f t="shared" si="2"/>
        <v>20.032649561976999</v>
      </c>
      <c r="R21" s="97">
        <f t="shared" si="3"/>
        <v>28.54304595283293</v>
      </c>
      <c r="S21" s="96">
        <v>62.147420335183</v>
      </c>
      <c r="T21" s="96">
        <v>241.50324394092999</v>
      </c>
      <c r="U21" s="96">
        <v>1.2698976718620001</v>
      </c>
      <c r="V21" s="67">
        <v>93.14</v>
      </c>
      <c r="W21" s="67">
        <v>44.7</v>
      </c>
      <c r="X21" s="67">
        <f t="shared" si="4"/>
        <v>2.2350000000000002E-2</v>
      </c>
      <c r="Y21" s="67">
        <v>1</v>
      </c>
      <c r="Z21" s="67">
        <f t="shared" si="5"/>
        <v>0.99853554896051755</v>
      </c>
      <c r="AA21" s="96">
        <f t="shared" si="6"/>
        <v>1.0019679834327111</v>
      </c>
      <c r="AB21" s="100">
        <f t="shared" si="7"/>
        <v>9.8438966498361644</v>
      </c>
      <c r="AC21" s="101">
        <f t="shared" si="8"/>
        <v>0.18225227287658249</v>
      </c>
      <c r="AD21" s="101">
        <f t="shared" si="9"/>
        <v>9.8259885623486909</v>
      </c>
      <c r="AE21" s="209"/>
      <c r="AF21" s="209"/>
      <c r="AG21" s="200"/>
      <c r="AH21" s="200"/>
      <c r="AI21" s="200"/>
      <c r="AJ21" s="200"/>
      <c r="AM21" s="101">
        <f t="shared" si="10"/>
        <v>9.8583336968661044</v>
      </c>
      <c r="AN21" s="101">
        <f t="shared" si="11"/>
        <v>0.32917944400377042</v>
      </c>
      <c r="AO21" s="101">
        <f t="shared" si="12"/>
        <v>9.8259885623486909</v>
      </c>
      <c r="AP21" s="209"/>
      <c r="AQ21" s="209"/>
      <c r="AR21" s="200"/>
      <c r="AS21" s="200"/>
      <c r="AT21" s="200"/>
      <c r="AU21" s="200"/>
      <c r="AW21" s="85">
        <v>20.234482088718</v>
      </c>
      <c r="AX21" s="85">
        <v>26.736013713588601</v>
      </c>
      <c r="AY21" s="92">
        <v>591.34070500779603</v>
      </c>
      <c r="AZ21" s="92">
        <v>59.819138541502497</v>
      </c>
      <c r="BA21" s="94">
        <v>1.5158623642839899E-5</v>
      </c>
      <c r="BB21" s="93">
        <v>174769</v>
      </c>
      <c r="BC21" s="92">
        <v>952.51518149586605</v>
      </c>
      <c r="BD21" s="91">
        <f t="shared" si="13"/>
        <v>5415528.0494891927</v>
      </c>
      <c r="BE21" s="90">
        <v>5798.78</v>
      </c>
      <c r="BF21" s="89">
        <f t="shared" si="14"/>
        <v>591.34070500779785</v>
      </c>
      <c r="BG21" s="83">
        <f t="shared" si="15"/>
        <v>0.73364080958524036</v>
      </c>
      <c r="BH21" s="86">
        <f t="shared" si="16"/>
        <v>1.71390415105169E-2</v>
      </c>
      <c r="BI21" s="86">
        <f t="shared" si="17"/>
        <v>-1.7623403565686497E-3</v>
      </c>
      <c r="BJ21" s="87">
        <f t="shared" si="18"/>
        <v>-1.5186429659671222E-2</v>
      </c>
      <c r="BK21" s="86">
        <f t="shared" si="19"/>
        <v>1.9027149427702957E-4</v>
      </c>
      <c r="BL21" s="88">
        <f t="shared" si="20"/>
        <v>5798.7689665746439</v>
      </c>
      <c r="BM21" s="85">
        <f t="shared" si="21"/>
        <v>591.34183016273437</v>
      </c>
      <c r="BN21" s="150">
        <f t="shared" si="22"/>
        <v>5415538.3537149411</v>
      </c>
      <c r="BO21" s="83">
        <f t="shared" si="23"/>
        <v>0.73364163592462683</v>
      </c>
      <c r="BP21" s="86">
        <f t="shared" si="24"/>
        <v>1.7138955432917522E-2</v>
      </c>
      <c r="BQ21" s="86">
        <f t="shared" si="25"/>
        <v>-1.7623368646919153E-3</v>
      </c>
      <c r="BR21" s="87">
        <f t="shared" si="26"/>
        <v>-1.518645855517284E-2</v>
      </c>
      <c r="BS21" s="86">
        <f t="shared" si="27"/>
        <v>1.9016001305276718E-4</v>
      </c>
      <c r="BT21" s="85">
        <f t="shared" si="28"/>
        <v>5798.7689730391949</v>
      </c>
      <c r="BU21" s="84">
        <f t="shared" si="29"/>
        <v>591.34182950349793</v>
      </c>
      <c r="BV21" s="83">
        <f t="shared" si="30"/>
        <v>9.8259885623486909</v>
      </c>
    </row>
    <row r="22" spans="2:74" s="100" customFormat="1" x14ac:dyDescent="0.25">
      <c r="B22" s="107">
        <v>13</v>
      </c>
      <c r="C22" s="106">
        <v>45239.397962962998</v>
      </c>
      <c r="D22" s="103">
        <v>183.63565</v>
      </c>
      <c r="E22" s="103">
        <v>0.96654377595628505</v>
      </c>
      <c r="F22" s="102">
        <v>20.063125447562001</v>
      </c>
      <c r="G22" s="102">
        <v>27.576809342057398</v>
      </c>
      <c r="H22" s="103">
        <f t="shared" si="0"/>
        <v>9.824609965854803</v>
      </c>
      <c r="I22" s="103">
        <v>62.134246292697</v>
      </c>
      <c r="J22" s="105">
        <v>1.51768176041332E-5</v>
      </c>
      <c r="K22" s="104">
        <v>181033</v>
      </c>
      <c r="L22" s="103">
        <v>985.82709838748599</v>
      </c>
      <c r="M22" s="102">
        <v>100.34281844781999</v>
      </c>
      <c r="N22" s="103">
        <v>9.8582709838748599</v>
      </c>
      <c r="O22" s="102">
        <f t="shared" si="1"/>
        <v>0.34261938272404713</v>
      </c>
      <c r="Q22" s="97">
        <f t="shared" si="2"/>
        <v>20.063125447562001</v>
      </c>
      <c r="R22" s="97">
        <f t="shared" si="3"/>
        <v>28.543353118013684</v>
      </c>
      <c r="S22" s="96">
        <v>62.136340888999001</v>
      </c>
      <c r="T22" s="96">
        <v>241.526068302521</v>
      </c>
      <c r="U22" s="96">
        <v>1.26989761599</v>
      </c>
      <c r="V22" s="67">
        <v>93.14</v>
      </c>
      <c r="W22" s="67">
        <v>44.7</v>
      </c>
      <c r="X22" s="67">
        <f t="shared" si="4"/>
        <v>2.2350000000000002E-2</v>
      </c>
      <c r="Y22" s="67">
        <v>1</v>
      </c>
      <c r="Z22" s="67">
        <f t="shared" si="5"/>
        <v>0.99853582532524277</v>
      </c>
      <c r="AA22" s="96">
        <f t="shared" si="6"/>
        <v>1.001968010668064</v>
      </c>
      <c r="AB22" s="100">
        <f t="shared" si="7"/>
        <v>9.863209528908282</v>
      </c>
      <c r="AC22" s="101">
        <f t="shared" si="8"/>
        <v>0.39288646763210816</v>
      </c>
      <c r="AD22" s="101">
        <f t="shared" si="9"/>
        <v>9.824609965854803</v>
      </c>
      <c r="AE22" s="209"/>
      <c r="AF22" s="209"/>
      <c r="AG22" s="200"/>
      <c r="AH22" s="200"/>
      <c r="AI22" s="200"/>
      <c r="AJ22" s="200"/>
      <c r="AM22" s="101">
        <f t="shared" si="10"/>
        <v>9.8776721663397904</v>
      </c>
      <c r="AN22" s="101">
        <f t="shared" si="11"/>
        <v>0.54009472813072323</v>
      </c>
      <c r="AO22" s="101">
        <f t="shared" si="12"/>
        <v>9.824609965854803</v>
      </c>
      <c r="AP22" s="209"/>
      <c r="AQ22" s="209"/>
      <c r="AR22" s="200"/>
      <c r="AS22" s="200"/>
      <c r="AT22" s="200"/>
      <c r="AU22" s="200"/>
      <c r="AW22" s="85">
        <v>20.232344701294998</v>
      </c>
      <c r="AX22" s="85">
        <v>26.736530376502301</v>
      </c>
      <c r="AY22" s="92">
        <v>591.236766578632</v>
      </c>
      <c r="AZ22" s="92">
        <v>59.821255561896997</v>
      </c>
      <c r="BA22" s="94">
        <v>1.5158539195669501E-5</v>
      </c>
      <c r="BB22" s="93">
        <v>174885</v>
      </c>
      <c r="BC22" s="92">
        <v>952.34776036134599</v>
      </c>
      <c r="BD22" s="91">
        <f t="shared" si="13"/>
        <v>5414797.9651590995</v>
      </c>
      <c r="BE22" s="90">
        <v>5798.78</v>
      </c>
      <c r="BF22" s="89">
        <f t="shared" si="14"/>
        <v>591.23676657863302</v>
      </c>
      <c r="BG22" s="83">
        <f t="shared" si="15"/>
        <v>0.73358225703641877</v>
      </c>
      <c r="BH22" s="86">
        <f t="shared" si="16"/>
        <v>1.7145141211731812E-2</v>
      </c>
      <c r="BI22" s="86">
        <f t="shared" si="17"/>
        <v>-1.7626006061803076E-3</v>
      </c>
      <c r="BJ22" s="87">
        <f t="shared" si="18"/>
        <v>-1.5184039299837793E-2</v>
      </c>
      <c r="BK22" s="86">
        <f t="shared" si="19"/>
        <v>1.9850130571371152E-4</v>
      </c>
      <c r="BL22" s="88">
        <f t="shared" si="20"/>
        <v>5798.7684893459846</v>
      </c>
      <c r="BM22" s="85">
        <f t="shared" si="21"/>
        <v>591.23794019366414</v>
      </c>
      <c r="BN22" s="150">
        <f t="shared" si="22"/>
        <v>5414808.7136250976</v>
      </c>
      <c r="BO22" s="83">
        <f t="shared" si="23"/>
        <v>0.73358311911749152</v>
      </c>
      <c r="BP22" s="86">
        <f t="shared" si="24"/>
        <v>1.7145051398351516E-2</v>
      </c>
      <c r="BQ22" s="86">
        <f t="shared" si="25"/>
        <v>-1.7625969627071301E-3</v>
      </c>
      <c r="BR22" s="87">
        <f t="shared" si="26"/>
        <v>-1.5184069440413893E-2</v>
      </c>
      <c r="BS22" s="86">
        <f t="shared" si="27"/>
        <v>1.9838499523049287E-4</v>
      </c>
      <c r="BT22" s="85">
        <f t="shared" si="28"/>
        <v>5798.7684960905735</v>
      </c>
      <c r="BU22" s="84">
        <f t="shared" si="29"/>
        <v>591.23793950599111</v>
      </c>
      <c r="BV22" s="83">
        <f t="shared" si="30"/>
        <v>9.824609965854803</v>
      </c>
    </row>
    <row r="23" spans="2:74" x14ac:dyDescent="0.25">
      <c r="B23" s="99">
        <v>15</v>
      </c>
      <c r="C23" s="98">
        <v>45239.404039351903</v>
      </c>
      <c r="D23" s="73">
        <v>183.84735000000001</v>
      </c>
      <c r="E23" s="73">
        <v>0.96645831147541195</v>
      </c>
      <c r="F23" s="71">
        <v>20.070564533500001</v>
      </c>
      <c r="G23" s="71">
        <v>27.486586292271799</v>
      </c>
      <c r="H23" s="152">
        <f t="shared" si="0"/>
        <v>8.1042119204272094</v>
      </c>
      <c r="I23" s="73">
        <v>61.887671391283597</v>
      </c>
      <c r="J23" s="75">
        <v>1.5174302550542E-5</v>
      </c>
      <c r="K23" s="74">
        <v>149137</v>
      </c>
      <c r="L23" s="73">
        <v>811.20016143828002</v>
      </c>
      <c r="M23" s="71">
        <v>100.108128939794</v>
      </c>
      <c r="N23" s="73">
        <v>8.1120016143828</v>
      </c>
      <c r="O23" s="151">
        <f t="shared" si="1"/>
        <v>9.6119080202680132E-2</v>
      </c>
      <c r="Q23" s="97">
        <f t="shared" si="2"/>
        <v>20.070564533500001</v>
      </c>
      <c r="R23" s="97">
        <f t="shared" si="3"/>
        <v>28.453044603747209</v>
      </c>
      <c r="S23" s="67">
        <v>61.889747856558998</v>
      </c>
      <c r="T23" s="67">
        <v>241.62679032246101</v>
      </c>
      <c r="U23" s="67">
        <v>1.269931040196</v>
      </c>
      <c r="V23" s="67">
        <v>93.14</v>
      </c>
      <c r="W23" s="67">
        <v>44.7</v>
      </c>
      <c r="X23" s="67">
        <f t="shared" si="4"/>
        <v>2.2350000000000002E-2</v>
      </c>
      <c r="Y23" s="67">
        <v>1</v>
      </c>
      <c r="Z23" s="67">
        <f t="shared" si="5"/>
        <v>0.9985370439665141</v>
      </c>
      <c r="AA23" s="96">
        <f t="shared" si="6"/>
        <v>1.0019610361706437</v>
      </c>
      <c r="AB23" s="96">
        <f t="shared" si="7"/>
        <v>8.1160187686594174</v>
      </c>
      <c r="AC23" s="76">
        <f t="shared" si="8"/>
        <v>0.14568780219638705</v>
      </c>
      <c r="AD23" s="95">
        <f t="shared" si="9"/>
        <v>8.1042119204272094</v>
      </c>
      <c r="AE23" s="209">
        <f>AVERAGE(AD23:AD25)</f>
        <v>8.1028104552670772</v>
      </c>
      <c r="AF23" s="209">
        <f>AVERAGE(AC23:AC25)</f>
        <v>0.11725471129465574</v>
      </c>
      <c r="AG23" s="200">
        <f>STDEV(AC23:AC25)</f>
        <v>0.1041717051142448</v>
      </c>
      <c r="AH23" s="200">
        <f>AG23*4.303/SQRT(2)</f>
        <v>0.31696121366168789</v>
      </c>
      <c r="AI23" s="200">
        <v>0.25</v>
      </c>
      <c r="AJ23" s="200">
        <f>SQRT(AI23^2+AH23^2)</f>
        <v>0.40368850734928058</v>
      </c>
      <c r="AM23" s="76">
        <f t="shared" si="10"/>
        <v>8.1279095429649253</v>
      </c>
      <c r="AN23" s="76">
        <f t="shared" si="11"/>
        <v>0.29241119026002338</v>
      </c>
      <c r="AO23" s="76">
        <f t="shared" si="12"/>
        <v>8.1042119204272094</v>
      </c>
      <c r="AP23" s="209">
        <f>AVERAGE(AO23:AO25)</f>
        <v>8.1028104552670772</v>
      </c>
      <c r="AQ23" s="209">
        <f>AVERAGE(AN23:AN25)</f>
        <v>0.26398332748532533</v>
      </c>
      <c r="AR23" s="200">
        <f>STDEV(AN23:AN25)</f>
        <v>0.1043067019883641</v>
      </c>
      <c r="AS23" s="200">
        <f>AR23*4.303/SQRT(2)</f>
        <v>0.31737196601535689</v>
      </c>
      <c r="AT23" s="200">
        <v>0.25</v>
      </c>
      <c r="AU23" s="200">
        <f>SQRT(AT23^2+AS23^2)</f>
        <v>0.40401109491256904</v>
      </c>
      <c r="AW23" s="85">
        <v>20.259707488217</v>
      </c>
      <c r="AX23" s="85">
        <v>26.926709503135601</v>
      </c>
      <c r="AY23" s="92">
        <v>483.64569349900898</v>
      </c>
      <c r="AZ23" s="92">
        <v>60.316184335320003</v>
      </c>
      <c r="BA23" s="94">
        <v>1.51656391113978E-5</v>
      </c>
      <c r="BB23" s="93">
        <v>143225</v>
      </c>
      <c r="BC23" s="92">
        <v>779.04304848560503</v>
      </c>
      <c r="BD23" s="91">
        <f t="shared" si="13"/>
        <v>4463989.0295512825</v>
      </c>
      <c r="BE23" s="90">
        <v>5798.78</v>
      </c>
      <c r="BF23" s="89">
        <f t="shared" si="14"/>
        <v>483.64569349900813</v>
      </c>
      <c r="BG23" s="83">
        <f t="shared" si="15"/>
        <v>0.64972311863310739</v>
      </c>
      <c r="BH23" s="86">
        <f t="shared" si="16"/>
        <v>2.659933765318814E-2</v>
      </c>
      <c r="BI23" s="86">
        <f t="shared" si="17"/>
        <v>-2.1566850120826393E-3</v>
      </c>
      <c r="BJ23" s="87">
        <f t="shared" si="18"/>
        <v>-1.2438318450462026E-2</v>
      </c>
      <c r="BK23" s="86">
        <f t="shared" si="19"/>
        <v>1.2004334190643475E-2</v>
      </c>
      <c r="BL23" s="88">
        <f t="shared" si="20"/>
        <v>5798.0838950698198</v>
      </c>
      <c r="BM23" s="85">
        <f t="shared" si="21"/>
        <v>483.70375891472094</v>
      </c>
      <c r="BN23" s="150">
        <f t="shared" si="22"/>
        <v>4464524.9660482313</v>
      </c>
      <c r="BO23" s="83">
        <f t="shared" si="23"/>
        <v>0.64977525592351648</v>
      </c>
      <c r="BP23" s="86">
        <f t="shared" si="24"/>
        <v>2.6593112400580366E-2</v>
      </c>
      <c r="BQ23" s="86">
        <f t="shared" si="25"/>
        <v>-2.1564131492213313E-3</v>
      </c>
      <c r="BR23" s="87">
        <f t="shared" si="26"/>
        <v>-1.2439811767039228E-2</v>
      </c>
      <c r="BS23" s="86">
        <f t="shared" si="27"/>
        <v>1.1996887484319806E-2</v>
      </c>
      <c r="BT23" s="85">
        <f t="shared" si="28"/>
        <v>5798.0843268879362</v>
      </c>
      <c r="BU23" s="84">
        <f t="shared" si="29"/>
        <v>483.70372289040068</v>
      </c>
      <c r="BV23" s="83">
        <f t="shared" si="30"/>
        <v>8.1042119204272094</v>
      </c>
    </row>
    <row r="24" spans="2:74" x14ac:dyDescent="0.25">
      <c r="B24" s="99">
        <v>16</v>
      </c>
      <c r="C24" s="98">
        <v>45239.406365740702</v>
      </c>
      <c r="D24" s="73">
        <v>184.6397</v>
      </c>
      <c r="E24" s="73">
        <v>0.96644874999999897</v>
      </c>
      <c r="F24" s="71">
        <v>19.976152355233001</v>
      </c>
      <c r="G24" s="71">
        <v>27.467133421196699</v>
      </c>
      <c r="H24" s="152">
        <f t="shared" si="0"/>
        <v>8.1024452414916439</v>
      </c>
      <c r="I24" s="73">
        <v>61.871780566187802</v>
      </c>
      <c r="J24" s="75">
        <v>1.51693088762112E-5</v>
      </c>
      <c r="K24" s="74">
        <v>149835</v>
      </c>
      <c r="L24" s="73">
        <v>811.49936877063794</v>
      </c>
      <c r="M24" s="71">
        <v>100.166872851367</v>
      </c>
      <c r="N24" s="73">
        <v>8.1149936877063809</v>
      </c>
      <c r="O24" s="151">
        <f t="shared" si="1"/>
        <v>0.15487233595208844</v>
      </c>
      <c r="Q24" s="97">
        <f t="shared" si="2"/>
        <v>19.976152355233001</v>
      </c>
      <c r="R24" s="97">
        <f t="shared" si="3"/>
        <v>28.433582171196697</v>
      </c>
      <c r="S24" s="67">
        <v>61.873911273143001</v>
      </c>
      <c r="T24" s="67">
        <v>241.57573567543201</v>
      </c>
      <c r="U24" s="67">
        <v>1.269938280404</v>
      </c>
      <c r="V24" s="67">
        <v>93.14</v>
      </c>
      <c r="W24" s="67">
        <v>44.7</v>
      </c>
      <c r="X24" s="67">
        <f t="shared" si="4"/>
        <v>2.2350000000000002E-2</v>
      </c>
      <c r="Y24" s="67">
        <v>1</v>
      </c>
      <c r="Z24" s="67">
        <f t="shared" si="5"/>
        <v>0.99853642644365426</v>
      </c>
      <c r="AA24" s="96">
        <f t="shared" si="6"/>
        <v>1.0019595324213089</v>
      </c>
      <c r="AB24" s="96">
        <f t="shared" si="7"/>
        <v>8.1189951176135633</v>
      </c>
      <c r="AC24" s="76">
        <f t="shared" si="8"/>
        <v>0.204257796611441</v>
      </c>
      <c r="AD24" s="95">
        <f t="shared" si="9"/>
        <v>8.1024452414916439</v>
      </c>
      <c r="AE24" s="209"/>
      <c r="AF24" s="209"/>
      <c r="AG24" s="200"/>
      <c r="AH24" s="200"/>
      <c r="AI24" s="200"/>
      <c r="AJ24" s="200"/>
      <c r="AM24" s="76">
        <f t="shared" si="10"/>
        <v>8.1308952809361585</v>
      </c>
      <c r="AN24" s="76">
        <f t="shared" si="11"/>
        <v>0.35112905544643996</v>
      </c>
      <c r="AO24" s="76">
        <f t="shared" si="12"/>
        <v>8.1024452414916439</v>
      </c>
      <c r="AP24" s="209"/>
      <c r="AQ24" s="209"/>
      <c r="AR24" s="200"/>
      <c r="AS24" s="200"/>
      <c r="AT24" s="200"/>
      <c r="AU24" s="200"/>
      <c r="AW24" s="85">
        <v>20.138111613966998</v>
      </c>
      <c r="AX24" s="85">
        <v>26.907641973939601</v>
      </c>
      <c r="AY24" s="92">
        <v>483.584247663761</v>
      </c>
      <c r="AZ24" s="92">
        <v>60.310707875789099</v>
      </c>
      <c r="BA24" s="94">
        <v>1.51593857388373E-5</v>
      </c>
      <c r="BB24" s="93">
        <v>143824</v>
      </c>
      <c r="BC24" s="92">
        <v>778.94407324101996</v>
      </c>
      <c r="BD24" s="91">
        <f t="shared" si="13"/>
        <v>4464857.6634384049</v>
      </c>
      <c r="BE24" s="90">
        <v>5798.78</v>
      </c>
      <c r="BF24" s="89">
        <f t="shared" si="14"/>
        <v>483.58424766376237</v>
      </c>
      <c r="BG24" s="83">
        <f t="shared" si="15"/>
        <v>0.64980761843876711</v>
      </c>
      <c r="BH24" s="86">
        <f t="shared" si="16"/>
        <v>2.6589248437024805E-2</v>
      </c>
      <c r="BI24" s="86">
        <f t="shared" si="17"/>
        <v>-2.1571686385640425E-3</v>
      </c>
      <c r="BJ24" s="87">
        <f t="shared" si="18"/>
        <v>-1.2444119951438157E-2</v>
      </c>
      <c r="BK24" s="86">
        <f t="shared" si="19"/>
        <v>1.1987959847022604E-2</v>
      </c>
      <c r="BL24" s="88">
        <f t="shared" si="20"/>
        <v>5798.0848445819829</v>
      </c>
      <c r="BM24" s="85">
        <f t="shared" si="21"/>
        <v>483.64222649967837</v>
      </c>
      <c r="BN24" s="150">
        <f t="shared" si="22"/>
        <v>4465392.9729550146</v>
      </c>
      <c r="BO24" s="83">
        <f t="shared" si="23"/>
        <v>0.64985968460777355</v>
      </c>
      <c r="BP24" s="86">
        <f t="shared" si="24"/>
        <v>2.6583032185016266E-2</v>
      </c>
      <c r="BQ24" s="86">
        <f t="shared" si="25"/>
        <v>-2.1568970840871973E-3</v>
      </c>
      <c r="BR24" s="87">
        <f t="shared" si="26"/>
        <v>-1.2445611926398611E-2</v>
      </c>
      <c r="BS24" s="86">
        <f t="shared" si="27"/>
        <v>1.1980523174530458E-2</v>
      </c>
      <c r="BT24" s="85">
        <f t="shared" si="28"/>
        <v>5798.08527581826</v>
      </c>
      <c r="BU24" s="84">
        <f t="shared" si="29"/>
        <v>483.64219052848046</v>
      </c>
      <c r="BV24" s="83">
        <f t="shared" si="30"/>
        <v>8.1024452414916439</v>
      </c>
    </row>
    <row r="25" spans="2:74" x14ac:dyDescent="0.25">
      <c r="B25" s="99">
        <v>17</v>
      </c>
      <c r="C25" s="98">
        <v>45239.408819444398</v>
      </c>
      <c r="D25" s="73">
        <v>184.80758</v>
      </c>
      <c r="E25" s="73">
        <v>0.966401333333334</v>
      </c>
      <c r="F25" s="71">
        <v>19.943792935369999</v>
      </c>
      <c r="G25" s="71">
        <v>27.4569325314175</v>
      </c>
      <c r="H25" s="152">
        <f t="shared" si="0"/>
        <v>8.1017742038823783</v>
      </c>
      <c r="I25" s="73">
        <v>61.856621040386898</v>
      </c>
      <c r="J25" s="75">
        <v>1.5167483336380101E-5</v>
      </c>
      <c r="K25" s="74">
        <v>149656</v>
      </c>
      <c r="L25" s="73">
        <v>809.79362426584498</v>
      </c>
      <c r="M25" s="71">
        <v>99.964594281736595</v>
      </c>
      <c r="N25" s="73">
        <v>8.0979362426584505</v>
      </c>
      <c r="O25" s="151">
        <f t="shared" si="1"/>
        <v>-4.7371861117639177E-2</v>
      </c>
      <c r="Q25" s="97">
        <f t="shared" si="2"/>
        <v>19.943792935369999</v>
      </c>
      <c r="R25" s="97">
        <f t="shared" si="3"/>
        <v>28.423333864750834</v>
      </c>
      <c r="S25" s="67">
        <v>61.858827284766001</v>
      </c>
      <c r="T25" s="67">
        <v>241.562006287006</v>
      </c>
      <c r="U25" s="67">
        <v>1.26994210352</v>
      </c>
      <c r="V25" s="67">
        <v>93.14</v>
      </c>
      <c r="W25" s="67">
        <v>44.7</v>
      </c>
      <c r="X25" s="67">
        <f t="shared" si="4"/>
        <v>2.2350000000000002E-2</v>
      </c>
      <c r="Y25" s="67">
        <v>1</v>
      </c>
      <c r="Z25" s="67">
        <f t="shared" si="5"/>
        <v>0.99853626031547871</v>
      </c>
      <c r="AA25" s="96">
        <f t="shared" si="6"/>
        <v>1.0019587438720983</v>
      </c>
      <c r="AB25" s="96">
        <f t="shared" si="7"/>
        <v>8.1019215374880655</v>
      </c>
      <c r="AC25" s="76">
        <f t="shared" si="8"/>
        <v>1.8185350761391488E-3</v>
      </c>
      <c r="AD25" s="95">
        <f t="shared" si="9"/>
        <v>8.1017742038823783</v>
      </c>
      <c r="AE25" s="209"/>
      <c r="AF25" s="209"/>
      <c r="AG25" s="200"/>
      <c r="AH25" s="200"/>
      <c r="AI25" s="200"/>
      <c r="AJ25" s="200"/>
      <c r="AM25" s="76">
        <f t="shared" si="10"/>
        <v>8.1137980256504001</v>
      </c>
      <c r="AN25" s="76">
        <f t="shared" si="11"/>
        <v>0.14840973674951247</v>
      </c>
      <c r="AO25" s="76">
        <f t="shared" si="12"/>
        <v>8.1017742038823783</v>
      </c>
      <c r="AP25" s="209"/>
      <c r="AQ25" s="209"/>
      <c r="AR25" s="200"/>
      <c r="AS25" s="200"/>
      <c r="AT25" s="200"/>
      <c r="AU25" s="200"/>
      <c r="AW25" s="85">
        <v>20.078957004426002</v>
      </c>
      <c r="AX25" s="85">
        <v>26.897080472094</v>
      </c>
      <c r="AY25" s="92">
        <v>483.59510105442502</v>
      </c>
      <c r="AZ25" s="92">
        <v>60.304365661915597</v>
      </c>
      <c r="BA25" s="94">
        <v>1.5156300688698101E-5</v>
      </c>
      <c r="BB25" s="93">
        <v>143958</v>
      </c>
      <c r="BC25" s="92">
        <v>778.96155558121598</v>
      </c>
      <c r="BD25" s="91">
        <f t="shared" si="13"/>
        <v>4465397.0828028405</v>
      </c>
      <c r="BE25" s="90">
        <v>5798.78</v>
      </c>
      <c r="BF25" s="89">
        <f t="shared" si="14"/>
        <v>483.59510105442479</v>
      </c>
      <c r="BG25" s="83">
        <f t="shared" si="15"/>
        <v>0.64986008432251796</v>
      </c>
      <c r="BH25" s="86">
        <f t="shared" si="16"/>
        <v>2.6582984463733014E-2</v>
      </c>
      <c r="BI25" s="86">
        <f t="shared" si="17"/>
        <v>-2.1573446637474735E-3</v>
      </c>
      <c r="BJ25" s="87">
        <f t="shared" si="18"/>
        <v>-1.2447828263287764E-2</v>
      </c>
      <c r="BK25" s="86">
        <f t="shared" si="19"/>
        <v>1.1977811536697778E-2</v>
      </c>
      <c r="BL25" s="88">
        <f t="shared" si="20"/>
        <v>5798.0854330601724</v>
      </c>
      <c r="BM25" s="85">
        <f t="shared" si="21"/>
        <v>483.65303210310162</v>
      </c>
      <c r="BN25" s="150">
        <f t="shared" si="22"/>
        <v>4465932.0037216032</v>
      </c>
      <c r="BO25" s="83">
        <f t="shared" si="23"/>
        <v>0.64991210641269082</v>
      </c>
      <c r="BP25" s="86">
        <f t="shared" si="24"/>
        <v>2.6576773790171933E-2</v>
      </c>
      <c r="BQ25" s="86">
        <f t="shared" si="25"/>
        <v>-2.1570733172873945E-3</v>
      </c>
      <c r="BR25" s="87">
        <f t="shared" si="26"/>
        <v>-1.2449319419305412E-2</v>
      </c>
      <c r="BS25" s="86">
        <f t="shared" si="27"/>
        <v>1.1970381053579128E-2</v>
      </c>
      <c r="BT25" s="85">
        <f t="shared" si="28"/>
        <v>5798.085863937541</v>
      </c>
      <c r="BU25" s="84">
        <f t="shared" si="29"/>
        <v>483.65299616104238</v>
      </c>
      <c r="BV25" s="83">
        <f t="shared" si="30"/>
        <v>8.1017742038823783</v>
      </c>
    </row>
    <row r="26" spans="2:74" x14ac:dyDescent="0.25">
      <c r="B26" s="99">
        <v>22</v>
      </c>
      <c r="C26" s="98">
        <v>45239.425011574102</v>
      </c>
      <c r="D26" s="73">
        <v>185.12402</v>
      </c>
      <c r="E26" s="73">
        <v>0.96645327173912998</v>
      </c>
      <c r="F26" s="71">
        <v>19.928308682962001</v>
      </c>
      <c r="G26" s="71">
        <v>27.3635507839276</v>
      </c>
      <c r="H26" s="152">
        <f t="shared" si="0"/>
        <v>6.5440508065508451</v>
      </c>
      <c r="I26" s="73">
        <v>61.6111669779105</v>
      </c>
      <c r="J26" s="75">
        <v>1.51638212779242E-5</v>
      </c>
      <c r="K26" s="74">
        <v>121357</v>
      </c>
      <c r="L26" s="73">
        <v>655.54432104488706</v>
      </c>
      <c r="M26" s="71">
        <v>100.19936295206</v>
      </c>
      <c r="N26" s="73">
        <v>6.5554432104488596</v>
      </c>
      <c r="O26" s="151">
        <f t="shared" si="1"/>
        <v>0.17408795002951696</v>
      </c>
      <c r="Q26" s="97">
        <f t="shared" si="2"/>
        <v>19.928308682962001</v>
      </c>
      <c r="R26" s="97">
        <f t="shared" si="3"/>
        <v>28.330004055666731</v>
      </c>
      <c r="S26" s="67">
        <v>61.613231830962</v>
      </c>
      <c r="T26" s="67">
        <v>241.648614465685</v>
      </c>
      <c r="U26" s="67">
        <v>1.2699773392739999</v>
      </c>
      <c r="V26" s="67">
        <v>93.14</v>
      </c>
      <c r="W26" s="67">
        <v>44.7</v>
      </c>
      <c r="X26" s="67">
        <f t="shared" si="4"/>
        <v>2.2350000000000002E-2</v>
      </c>
      <c r="Y26" s="67">
        <v>1</v>
      </c>
      <c r="Z26" s="67">
        <f t="shared" si="5"/>
        <v>0.99853730781757688</v>
      </c>
      <c r="AA26" s="96">
        <f t="shared" si="6"/>
        <v>1.0019515253336775</v>
      </c>
      <c r="AB26" s="96">
        <f t="shared" si="7"/>
        <v>6.5586290160241889</v>
      </c>
      <c r="AC26" s="76">
        <f t="shared" si="8"/>
        <v>0.22277042010050438</v>
      </c>
      <c r="AD26" s="95">
        <f t="shared" si="9"/>
        <v>6.5440508065508451</v>
      </c>
      <c r="AE26" s="209">
        <f>AVERAGE(AD26:AD28)</f>
        <v>6.5437918775482329</v>
      </c>
      <c r="AF26" s="209">
        <f>AVERAGE(AC26:AC28)</f>
        <v>0.20947289805438776</v>
      </c>
      <c r="AG26" s="200">
        <f>STDEV(AC26:AC28)</f>
        <v>0.12035073680175754</v>
      </c>
      <c r="AH26" s="200">
        <f>AG26*4.303/SQRT(2)</f>
        <v>0.36618883755361653</v>
      </c>
      <c r="AI26" s="200">
        <v>0.25</v>
      </c>
      <c r="AJ26" s="200">
        <f>SQRT(AI26^2+AH26^2)</f>
        <v>0.44338951808637622</v>
      </c>
      <c r="AM26" s="76">
        <f t="shared" si="10"/>
        <v>6.5682363239475343</v>
      </c>
      <c r="AN26" s="76">
        <f t="shared" si="11"/>
        <v>0.36958022044203176</v>
      </c>
      <c r="AO26" s="76">
        <f t="shared" si="12"/>
        <v>6.5440508065508451</v>
      </c>
      <c r="AP26" s="209">
        <f>AVERAGE(AO26:AO28)</f>
        <v>6.5437918775482329</v>
      </c>
      <c r="AQ26" s="209">
        <f>AVERAGE(AN26:AN28)</f>
        <v>0.35626488970933484</v>
      </c>
      <c r="AR26" s="200">
        <f>STDEV(AN26:AN28)</f>
        <v>0.12052782298403233</v>
      </c>
      <c r="AS26" s="200">
        <f>AR26*4.303/SQRT(2)</f>
        <v>0.36672765422360359</v>
      </c>
      <c r="AT26" s="200">
        <v>0.25</v>
      </c>
      <c r="AU26" s="200">
        <f>SQRT(AT26^2+AS26^2)</f>
        <v>0.44383462277333319</v>
      </c>
      <c r="AW26" s="85">
        <v>19.944234014117999</v>
      </c>
      <c r="AX26" s="85">
        <v>27.003141365241301</v>
      </c>
      <c r="AY26" s="92">
        <v>388.41335668329799</v>
      </c>
      <c r="AZ26" s="92">
        <v>60.638080316566104</v>
      </c>
      <c r="BA26" s="94">
        <v>1.51533028960632E-5</v>
      </c>
      <c r="BB26" s="93">
        <v>115822</v>
      </c>
      <c r="BC26" s="92">
        <v>625.64544568554595</v>
      </c>
      <c r="BD26" s="91">
        <f t="shared" si="13"/>
        <v>3607073.1221990637</v>
      </c>
      <c r="BE26" s="90">
        <v>5798.78</v>
      </c>
      <c r="BF26" s="89">
        <f t="shared" si="14"/>
        <v>388.4133566832964</v>
      </c>
      <c r="BG26" s="83">
        <f t="shared" si="15"/>
        <v>0.55715494637871044</v>
      </c>
      <c r="BH26" s="86">
        <f t="shared" si="16"/>
        <v>3.7959159362387002E-2</v>
      </c>
      <c r="BI26" s="86">
        <f t="shared" si="17"/>
        <v>-2.7040190679327837E-3</v>
      </c>
      <c r="BJ26" s="87">
        <f t="shared" si="18"/>
        <v>-1.0015018458626505E-2</v>
      </c>
      <c r="BK26" s="86">
        <f t="shared" si="19"/>
        <v>2.524012183582771E-2</v>
      </c>
      <c r="BL26" s="88">
        <f t="shared" si="20"/>
        <v>5797.3163808630079</v>
      </c>
      <c r="BM26" s="85">
        <f t="shared" si="21"/>
        <v>388.51141743840401</v>
      </c>
      <c r="BN26" s="150">
        <f t="shared" si="22"/>
        <v>3607983.7817013822</v>
      </c>
      <c r="BO26" s="83">
        <f t="shared" si="23"/>
        <v>0.55726457667106089</v>
      </c>
      <c r="BP26" s="86">
        <f t="shared" si="24"/>
        <v>3.7945554723693264E-2</v>
      </c>
      <c r="BQ26" s="86">
        <f t="shared" si="25"/>
        <v>-2.7032945269699527E-3</v>
      </c>
      <c r="BR26" s="87">
        <f t="shared" si="26"/>
        <v>-1.0017546899668946E-2</v>
      </c>
      <c r="BS26" s="86">
        <f t="shared" si="27"/>
        <v>2.5224713297054363E-2</v>
      </c>
      <c r="BT26" s="85">
        <f t="shared" si="28"/>
        <v>5797.3172743702726</v>
      </c>
      <c r="BU26" s="84">
        <f t="shared" si="29"/>
        <v>388.51135755936724</v>
      </c>
      <c r="BV26" s="83">
        <f t="shared" si="30"/>
        <v>6.5440508065508451</v>
      </c>
    </row>
    <row r="27" spans="2:74" x14ac:dyDescent="0.25">
      <c r="B27" s="99">
        <v>23</v>
      </c>
      <c r="C27" s="98">
        <v>45239.429444444402</v>
      </c>
      <c r="D27" s="73">
        <v>186.22371999999999</v>
      </c>
      <c r="E27" s="73">
        <v>0.96638418378378299</v>
      </c>
      <c r="F27" s="71">
        <v>19.916790248045</v>
      </c>
      <c r="G27" s="71">
        <v>27.3565759325644</v>
      </c>
      <c r="H27" s="152">
        <f t="shared" si="0"/>
        <v>6.5433126324823778</v>
      </c>
      <c r="I27" s="73">
        <v>61.596750227054997</v>
      </c>
      <c r="J27" s="75">
        <v>1.5163066108049601E-5</v>
      </c>
      <c r="K27" s="74">
        <v>121894</v>
      </c>
      <c r="L27" s="73">
        <v>654.55678793227798</v>
      </c>
      <c r="M27" s="71">
        <v>100.059708249388</v>
      </c>
      <c r="N27" s="73">
        <v>6.5455678793227898</v>
      </c>
      <c r="O27" s="151">
        <f t="shared" si="1"/>
        <v>3.4466438745666642E-2</v>
      </c>
      <c r="Q27" s="97">
        <f t="shared" si="2"/>
        <v>19.916790248045</v>
      </c>
      <c r="R27" s="97">
        <f t="shared" si="3"/>
        <v>28.322960116348185</v>
      </c>
      <c r="S27" s="67">
        <v>61.598702383457002</v>
      </c>
      <c r="T27" s="67">
        <v>241.64732050149101</v>
      </c>
      <c r="U27" s="67">
        <v>1.2699800258480001</v>
      </c>
      <c r="V27" s="67">
        <v>93.14</v>
      </c>
      <c r="W27" s="67">
        <v>44.7</v>
      </c>
      <c r="X27" s="67">
        <f t="shared" si="4"/>
        <v>2.2350000000000002E-2</v>
      </c>
      <c r="Y27" s="67">
        <v>1</v>
      </c>
      <c r="Z27" s="67">
        <f t="shared" si="5"/>
        <v>0.9985372921757073</v>
      </c>
      <c r="AA27" s="96">
        <f t="shared" si="6"/>
        <v>1.0019509861721811</v>
      </c>
      <c r="AB27" s="96">
        <f t="shared" si="7"/>
        <v>6.5487452591569992</v>
      </c>
      <c r="AC27" s="76">
        <f t="shared" si="8"/>
        <v>8.302563211870255E-2</v>
      </c>
      <c r="AD27" s="95">
        <f t="shared" si="9"/>
        <v>6.5433126324823778</v>
      </c>
      <c r="AE27" s="209"/>
      <c r="AF27" s="209"/>
      <c r="AG27" s="200"/>
      <c r="AH27" s="200"/>
      <c r="AI27" s="200"/>
      <c r="AJ27" s="200"/>
      <c r="AM27" s="76">
        <f t="shared" si="10"/>
        <v>6.5583381917444212</v>
      </c>
      <c r="AN27" s="76">
        <f t="shared" si="11"/>
        <v>0.22963229950917183</v>
      </c>
      <c r="AO27" s="76">
        <f t="shared" si="12"/>
        <v>6.5433126324823778</v>
      </c>
      <c r="AP27" s="209"/>
      <c r="AQ27" s="209"/>
      <c r="AR27" s="200"/>
      <c r="AS27" s="200"/>
      <c r="AT27" s="200"/>
      <c r="AU27" s="200"/>
      <c r="AW27" s="85">
        <v>19.936043445134001</v>
      </c>
      <c r="AX27" s="85">
        <v>26.995661047516499</v>
      </c>
      <c r="AY27" s="92">
        <v>388.479957020982</v>
      </c>
      <c r="AZ27" s="92">
        <v>60.620844543750998</v>
      </c>
      <c r="BA27" s="94">
        <v>1.5152686020805701E-5</v>
      </c>
      <c r="BB27" s="93">
        <v>116530</v>
      </c>
      <c r="BC27" s="92">
        <v>625.75272365947797</v>
      </c>
      <c r="BD27" s="91">
        <f t="shared" si="13"/>
        <v>3606812.9977280628</v>
      </c>
      <c r="BE27" s="90">
        <v>5798.78</v>
      </c>
      <c r="BF27" s="89">
        <f t="shared" si="14"/>
        <v>388.47995702098041</v>
      </c>
      <c r="BG27" s="83">
        <f t="shared" si="15"/>
        <v>0.55712362605550758</v>
      </c>
      <c r="BH27" s="86">
        <f t="shared" si="16"/>
        <v>3.7963046055108793E-2</v>
      </c>
      <c r="BI27" s="86">
        <f t="shared" si="17"/>
        <v>-2.7042956054196044E-3</v>
      </c>
      <c r="BJ27" s="87">
        <f t="shared" si="18"/>
        <v>-1.0016592178665934E-2</v>
      </c>
      <c r="BK27" s="86">
        <f t="shared" si="19"/>
        <v>2.5242158271023253E-2</v>
      </c>
      <c r="BL27" s="88">
        <f t="shared" si="20"/>
        <v>5797.3162627746115</v>
      </c>
      <c r="BM27" s="85">
        <f t="shared" si="21"/>
        <v>388.57804250547611</v>
      </c>
      <c r="BN27" s="150">
        <f t="shared" si="22"/>
        <v>3607723.6650455752</v>
      </c>
      <c r="BO27" s="83">
        <f t="shared" si="23"/>
        <v>0.55723326519421656</v>
      </c>
      <c r="BP27" s="86">
        <f t="shared" si="24"/>
        <v>3.7949440352924586E-2</v>
      </c>
      <c r="BQ27" s="86">
        <f t="shared" si="25"/>
        <v>-2.703570938660783E-3</v>
      </c>
      <c r="BR27" s="87">
        <f t="shared" si="26"/>
        <v>-1.0019121221101931E-2</v>
      </c>
      <c r="BS27" s="86">
        <f t="shared" si="27"/>
        <v>2.5226748193161872E-2</v>
      </c>
      <c r="BT27" s="85">
        <f t="shared" si="28"/>
        <v>5797.3171563711239</v>
      </c>
      <c r="BU27" s="84">
        <f t="shared" si="29"/>
        <v>388.57798261018758</v>
      </c>
      <c r="BV27" s="83">
        <f t="shared" si="30"/>
        <v>6.5433126324823778</v>
      </c>
    </row>
    <row r="28" spans="2:74" x14ac:dyDescent="0.25">
      <c r="B28" s="99">
        <v>24</v>
      </c>
      <c r="C28" s="98">
        <v>45239.431840277801</v>
      </c>
      <c r="D28" s="73">
        <v>181.74652</v>
      </c>
      <c r="E28" s="73">
        <v>0.96635409944751305</v>
      </c>
      <c r="F28" s="71">
        <v>19.909576231555</v>
      </c>
      <c r="G28" s="71">
        <v>27.352882187640301</v>
      </c>
      <c r="H28" s="152">
        <f t="shared" si="0"/>
        <v>6.5440121936114757</v>
      </c>
      <c r="I28" s="73">
        <v>61.5894288383694</v>
      </c>
      <c r="J28" s="75">
        <v>1.5162613117817501E-5</v>
      </c>
      <c r="K28" s="74">
        <v>119261</v>
      </c>
      <c r="L28" s="73">
        <v>656.19413235532602</v>
      </c>
      <c r="M28" s="71">
        <v>100.299270752426</v>
      </c>
      <c r="N28" s="73">
        <v>6.5619413235532598</v>
      </c>
      <c r="O28" s="151">
        <f t="shared" si="1"/>
        <v>0.27397763652224261</v>
      </c>
      <c r="Q28" s="97">
        <f t="shared" si="2"/>
        <v>19.909576231555</v>
      </c>
      <c r="R28" s="97">
        <f t="shared" si="3"/>
        <v>28.319236287087815</v>
      </c>
      <c r="S28" s="67">
        <v>61.591454623315002</v>
      </c>
      <c r="T28" s="67">
        <v>241.645786312723</v>
      </c>
      <c r="U28" s="67">
        <v>1.2699814487479999</v>
      </c>
      <c r="V28" s="67">
        <v>93.14</v>
      </c>
      <c r="W28" s="67">
        <v>44.7</v>
      </c>
      <c r="X28" s="67">
        <f t="shared" si="4"/>
        <v>2.2350000000000002E-2</v>
      </c>
      <c r="Y28" s="67">
        <v>1</v>
      </c>
      <c r="Z28" s="67">
        <f t="shared" si="5"/>
        <v>0.99853727362959821</v>
      </c>
      <c r="AA28" s="96">
        <f t="shared" si="6"/>
        <v>1.0019507006430282</v>
      </c>
      <c r="AB28" s="96">
        <f t="shared" si="7"/>
        <v>6.5651246586396397</v>
      </c>
      <c r="AC28" s="76">
        <f t="shared" si="8"/>
        <v>0.3226226419439564</v>
      </c>
      <c r="AD28" s="95">
        <f t="shared" si="9"/>
        <v>6.5440121936114757</v>
      </c>
      <c r="AE28" s="209"/>
      <c r="AF28" s="209"/>
      <c r="AG28" s="200"/>
      <c r="AH28" s="200"/>
      <c r="AI28" s="200"/>
      <c r="AJ28" s="200"/>
      <c r="AM28" s="76">
        <f t="shared" si="10"/>
        <v>6.5747417067126284</v>
      </c>
      <c r="AN28" s="76">
        <f t="shared" si="11"/>
        <v>0.46958214917680091</v>
      </c>
      <c r="AO28" s="76">
        <f t="shared" si="12"/>
        <v>6.5440121936114757</v>
      </c>
      <c r="AP28" s="209"/>
      <c r="AQ28" s="209"/>
      <c r="AR28" s="200"/>
      <c r="AS28" s="200"/>
      <c r="AT28" s="200"/>
      <c r="AU28" s="200"/>
      <c r="AW28" s="85">
        <v>19.930231918905001</v>
      </c>
      <c r="AX28" s="85">
        <v>26.992212031087899</v>
      </c>
      <c r="AY28" s="92">
        <v>388.567471616435</v>
      </c>
      <c r="AZ28" s="92">
        <v>60.613676471258003</v>
      </c>
      <c r="BA28" s="94">
        <v>1.5152306993893201E-5</v>
      </c>
      <c r="BB28" s="93">
        <v>113754</v>
      </c>
      <c r="BC28" s="92">
        <v>625.89368973887395</v>
      </c>
      <c r="BD28" s="91">
        <f t="shared" si="13"/>
        <v>3607289.171242957</v>
      </c>
      <c r="BE28" s="90">
        <v>5798.78</v>
      </c>
      <c r="BF28" s="89">
        <f t="shared" si="14"/>
        <v>388.5674716164342</v>
      </c>
      <c r="BG28" s="83">
        <f t="shared" si="15"/>
        <v>0.55718095807698531</v>
      </c>
      <c r="BH28" s="86">
        <f t="shared" si="16"/>
        <v>3.7955931435516288E-2</v>
      </c>
      <c r="BI28" s="86">
        <f t="shared" si="17"/>
        <v>-2.7039687480186984E-3</v>
      </c>
      <c r="BJ28" s="87">
        <f t="shared" si="18"/>
        <v>-1.0018910563810147E-2</v>
      </c>
      <c r="BK28" s="86">
        <f t="shared" si="19"/>
        <v>2.5233052123687445E-2</v>
      </c>
      <c r="BL28" s="88">
        <f t="shared" si="20"/>
        <v>5797.3167908200621</v>
      </c>
      <c r="BM28" s="85">
        <f t="shared" si="21"/>
        <v>388.66554379568692</v>
      </c>
      <c r="BN28" s="150">
        <f t="shared" si="22"/>
        <v>3608199.6301363553</v>
      </c>
      <c r="BO28" s="83">
        <f t="shared" si="23"/>
        <v>0.55729055765821556</v>
      </c>
      <c r="BP28" s="86">
        <f t="shared" si="24"/>
        <v>3.7942330579571207E-2</v>
      </c>
      <c r="BQ28" s="86">
        <f t="shared" si="25"/>
        <v>-2.7032444391184786E-3</v>
      </c>
      <c r="BR28" s="87">
        <f t="shared" si="26"/>
        <v>-1.002143927880691E-2</v>
      </c>
      <c r="BS28" s="86">
        <f t="shared" si="27"/>
        <v>2.521764686164582E-2</v>
      </c>
      <c r="BT28" s="85">
        <f t="shared" si="28"/>
        <v>5797.3176841373161</v>
      </c>
      <c r="BU28" s="84">
        <f t="shared" si="29"/>
        <v>388.66548390563861</v>
      </c>
      <c r="BV28" s="83">
        <f t="shared" si="30"/>
        <v>6.5440121936114757</v>
      </c>
    </row>
    <row r="29" spans="2:74" x14ac:dyDescent="0.25">
      <c r="B29" s="99">
        <v>26</v>
      </c>
      <c r="C29" s="98">
        <v>45239.439270833303</v>
      </c>
      <c r="D29" s="73">
        <v>186.90557000000001</v>
      </c>
      <c r="E29" s="73">
        <v>0.96630074193548499</v>
      </c>
      <c r="F29" s="71">
        <v>20.011235248371001</v>
      </c>
      <c r="G29" s="71">
        <v>27.307556344897399</v>
      </c>
      <c r="H29" s="152">
        <f t="shared" si="0"/>
        <v>4.7566274620898161</v>
      </c>
      <c r="I29" s="73">
        <v>61.428312973713901</v>
      </c>
      <c r="J29" s="75">
        <v>1.51659076061936E-5</v>
      </c>
      <c r="K29" s="74">
        <v>88871</v>
      </c>
      <c r="L29" s="73">
        <v>475.48609707030101</v>
      </c>
      <c r="M29" s="71">
        <v>100.00637158858299</v>
      </c>
      <c r="N29" s="73">
        <v>4.7548609707030103</v>
      </c>
      <c r="O29" s="151">
        <f t="shared" si="1"/>
        <v>-3.7137476098028102E-2</v>
      </c>
      <c r="Q29" s="97">
        <f t="shared" si="2"/>
        <v>20.011235248371001</v>
      </c>
      <c r="R29" s="97">
        <f t="shared" si="3"/>
        <v>28.273857086832884</v>
      </c>
      <c r="S29" s="67">
        <v>61.430249833794001</v>
      </c>
      <c r="T29" s="67">
        <v>241.77032499752701</v>
      </c>
      <c r="U29" s="67">
        <v>1.2699985107139999</v>
      </c>
      <c r="V29" s="67">
        <v>93.14</v>
      </c>
      <c r="W29" s="67">
        <v>44.7</v>
      </c>
      <c r="X29" s="67">
        <f t="shared" si="4"/>
        <v>2.2350000000000002E-2</v>
      </c>
      <c r="Y29" s="67">
        <v>1</v>
      </c>
      <c r="Z29" s="67">
        <f t="shared" si="5"/>
        <v>0.9985387779745506</v>
      </c>
      <c r="AA29" s="96">
        <f t="shared" si="6"/>
        <v>1.0019471969358673</v>
      </c>
      <c r="AB29" s="96">
        <f t="shared" si="7"/>
        <v>4.7571581848929503</v>
      </c>
      <c r="AC29" s="76">
        <f t="shared" si="8"/>
        <v>1.1157544023869837E-2</v>
      </c>
      <c r="AD29" s="95">
        <f t="shared" si="9"/>
        <v>4.7566274620898161</v>
      </c>
      <c r="AE29" s="209">
        <f>AVERAGE(AD29:AD31)</f>
        <v>4.7560138825195368</v>
      </c>
      <c r="AF29" s="209">
        <f>AVERAGE(AC29:AC31)</f>
        <v>-2.0360578266372633E-2</v>
      </c>
      <c r="AG29" s="200">
        <f>STDEV(AC29:AC31)</f>
        <v>9.8543068166651177E-2</v>
      </c>
      <c r="AH29" s="200">
        <f>AG29*4.303/SQRT(2)</f>
        <v>0.29983506989535785</v>
      </c>
      <c r="AI29" s="200">
        <v>0.25</v>
      </c>
      <c r="AJ29" s="200">
        <f>SQRT(AI29^2+AH29^2)</f>
        <v>0.39038579525791423</v>
      </c>
      <c r="AM29" s="76">
        <f t="shared" si="10"/>
        <v>4.7641196214156381</v>
      </c>
      <c r="AN29" s="76">
        <f t="shared" si="11"/>
        <v>0.15750990350903485</v>
      </c>
      <c r="AO29" s="76">
        <f t="shared" si="12"/>
        <v>4.7566274620898161</v>
      </c>
      <c r="AP29" s="209">
        <f>AVERAGE(AO29:AO31)</f>
        <v>4.7560138825195368</v>
      </c>
      <c r="AQ29" s="209">
        <f>AVERAGE(AN29:AN31)</f>
        <v>0.12594669168828265</v>
      </c>
      <c r="AR29" s="200">
        <f>STDEV(AN29:AN31)</f>
        <v>9.8688018984569428E-2</v>
      </c>
      <c r="AS29" s="200">
        <f>AR29*4.303/SQRT(2)</f>
        <v>0.30027610891951739</v>
      </c>
      <c r="AT29" s="200">
        <v>0.25</v>
      </c>
      <c r="AU29" s="200">
        <f>SQRT(AT29^2+AS29^2)</f>
        <v>0.39072463652532313</v>
      </c>
      <c r="AW29" s="85">
        <v>19.974336894318</v>
      </c>
      <c r="AX29" s="85">
        <v>27.1236470059666</v>
      </c>
      <c r="AY29" s="92">
        <v>280.83223939374102</v>
      </c>
      <c r="AZ29" s="92">
        <v>60.948874475116597</v>
      </c>
      <c r="BA29" s="94">
        <v>1.51584434757627E-5</v>
      </c>
      <c r="BB29" s="93">
        <v>84548</v>
      </c>
      <c r="BC29" s="92">
        <v>452.35677031990002</v>
      </c>
      <c r="BD29" s="91">
        <f t="shared" si="13"/>
        <v>2620479.0703212409</v>
      </c>
      <c r="BE29" s="90">
        <v>5798.78</v>
      </c>
      <c r="BF29" s="89">
        <f t="shared" si="14"/>
        <v>280.83223939374147</v>
      </c>
      <c r="BG29" s="83">
        <f t="shared" si="15"/>
        <v>0.41838069535695127</v>
      </c>
      <c r="BH29" s="86">
        <f t="shared" si="16"/>
        <v>5.4584538047965842E-2</v>
      </c>
      <c r="BI29" s="86">
        <f t="shared" si="17"/>
        <v>-3.8086306770400342E-3</v>
      </c>
      <c r="BJ29" s="87">
        <f t="shared" si="18"/>
        <v>-7.2470298177022639E-3</v>
      </c>
      <c r="BK29" s="86">
        <f t="shared" si="19"/>
        <v>4.3528877553223544E-2</v>
      </c>
      <c r="BL29" s="88">
        <f t="shared" si="20"/>
        <v>5796.2558561542191</v>
      </c>
      <c r="BM29" s="85">
        <f t="shared" si="21"/>
        <v>280.9545357495881</v>
      </c>
      <c r="BN29" s="150">
        <f t="shared" si="22"/>
        <v>2621620.2321820175</v>
      </c>
      <c r="BO29" s="83">
        <f t="shared" si="23"/>
        <v>0.41856978002640272</v>
      </c>
      <c r="BP29" s="86">
        <f t="shared" si="24"/>
        <v>5.4563313236713103E-2</v>
      </c>
      <c r="BQ29" s="86">
        <f t="shared" si="25"/>
        <v>-3.8068348552767204E-3</v>
      </c>
      <c r="BR29" s="87">
        <f t="shared" si="26"/>
        <v>-7.2501857421763552E-3</v>
      </c>
      <c r="BS29" s="86">
        <f t="shared" si="27"/>
        <v>4.3506292639260029E-2</v>
      </c>
      <c r="BT29" s="85">
        <f t="shared" si="28"/>
        <v>5796.2571658036932</v>
      </c>
      <c r="BU29" s="84">
        <f t="shared" si="29"/>
        <v>280.95447226862973</v>
      </c>
      <c r="BV29" s="83">
        <f t="shared" si="30"/>
        <v>4.7566274620898161</v>
      </c>
    </row>
    <row r="30" spans="2:74" x14ac:dyDescent="0.25">
      <c r="B30" s="99">
        <v>27</v>
      </c>
      <c r="C30" s="98">
        <v>45239.441666666702</v>
      </c>
      <c r="D30" s="73">
        <v>187.45864</v>
      </c>
      <c r="E30" s="73">
        <v>0.96628406486486396</v>
      </c>
      <c r="F30" s="71">
        <v>19.999474629651999</v>
      </c>
      <c r="G30" s="71">
        <v>27.301157474981299</v>
      </c>
      <c r="H30" s="152">
        <f t="shared" si="0"/>
        <v>4.755652560111896</v>
      </c>
      <c r="I30" s="73">
        <v>61.4154184339463</v>
      </c>
      <c r="J30" s="75">
        <v>1.51651582174952E-5</v>
      </c>
      <c r="K30" s="74">
        <v>89158</v>
      </c>
      <c r="L30" s="73">
        <v>475.61424749480699</v>
      </c>
      <c r="M30" s="71">
        <v>100.053835672848</v>
      </c>
      <c r="N30" s="73">
        <v>4.7561424749480699</v>
      </c>
      <c r="O30" s="151">
        <f t="shared" si="1"/>
        <v>1.0301737353209016E-2</v>
      </c>
      <c r="Q30" s="97">
        <f t="shared" si="2"/>
        <v>19.999474629651999</v>
      </c>
      <c r="R30" s="97">
        <f t="shared" si="3"/>
        <v>28.267441539846164</v>
      </c>
      <c r="S30" s="67">
        <v>61.417514532512001</v>
      </c>
      <c r="T30" s="67">
        <v>241.76819142948901</v>
      </c>
      <c r="U30" s="67">
        <v>1.270000985721</v>
      </c>
      <c r="V30" s="67">
        <v>93.14</v>
      </c>
      <c r="W30" s="67">
        <v>44.7</v>
      </c>
      <c r="X30" s="67">
        <f t="shared" si="4"/>
        <v>2.2350000000000002E-2</v>
      </c>
      <c r="Y30" s="67">
        <v>1</v>
      </c>
      <c r="Z30" s="67">
        <f t="shared" si="5"/>
        <v>0.9985387522219924</v>
      </c>
      <c r="AA30" s="96">
        <f t="shared" si="6"/>
        <v>1.0019467023024413</v>
      </c>
      <c r="AB30" s="96">
        <f t="shared" si="7"/>
        <v>4.7584378364399464</v>
      </c>
      <c r="AC30" s="76">
        <f t="shared" si="8"/>
        <v>5.8567700075737736E-2</v>
      </c>
      <c r="AD30" s="95">
        <f t="shared" si="9"/>
        <v>4.755652560111896</v>
      </c>
      <c r="AE30" s="209"/>
      <c r="AF30" s="209"/>
      <c r="AG30" s="200"/>
      <c r="AH30" s="200"/>
      <c r="AI30" s="200"/>
      <c r="AJ30" s="200"/>
      <c r="AM30" s="76">
        <f t="shared" si="10"/>
        <v>4.7654012684547906</v>
      </c>
      <c r="AN30" s="76">
        <f t="shared" si="11"/>
        <v>0.20499202201317404</v>
      </c>
      <c r="AO30" s="76">
        <f t="shared" si="12"/>
        <v>4.755652560111896</v>
      </c>
      <c r="AP30" s="209"/>
      <c r="AQ30" s="209"/>
      <c r="AR30" s="200"/>
      <c r="AS30" s="200"/>
      <c r="AT30" s="200"/>
      <c r="AU30" s="200"/>
      <c r="AW30" s="85">
        <v>19.946883334123001</v>
      </c>
      <c r="AX30" s="85">
        <v>27.1171441180282</v>
      </c>
      <c r="AY30" s="92">
        <v>280.80844444912202</v>
      </c>
      <c r="AZ30" s="92">
        <v>60.941543615223999</v>
      </c>
      <c r="BA30" s="94">
        <v>1.5156960228581E-5</v>
      </c>
      <c r="BB30" s="93">
        <v>84791</v>
      </c>
      <c r="BC30" s="92">
        <v>452.31844208407801</v>
      </c>
      <c r="BD30" s="91">
        <f t="shared" si="13"/>
        <v>2620198.2606576825</v>
      </c>
      <c r="BE30" s="90">
        <v>5798.78</v>
      </c>
      <c r="BF30" s="89">
        <f t="shared" si="14"/>
        <v>280.80844444912219</v>
      </c>
      <c r="BG30" s="83">
        <f t="shared" si="15"/>
        <v>0.41833415401133384</v>
      </c>
      <c r="BH30" s="86">
        <f t="shared" si="16"/>
        <v>5.4589761497506044E-2</v>
      </c>
      <c r="BI30" s="86">
        <f t="shared" si="17"/>
        <v>-3.8094384768949992E-3</v>
      </c>
      <c r="BJ30" s="87">
        <f t="shared" si="18"/>
        <v>-7.2472262379868037E-3</v>
      </c>
      <c r="BK30" s="86">
        <f t="shared" si="19"/>
        <v>4.3533096782624237E-2</v>
      </c>
      <c r="BL30" s="88">
        <f t="shared" si="20"/>
        <v>5796.2556114903882</v>
      </c>
      <c r="BM30" s="85">
        <f t="shared" si="21"/>
        <v>280.93074230106026</v>
      </c>
      <c r="BN30" s="150">
        <f t="shared" si="22"/>
        <v>2621339.4108804218</v>
      </c>
      <c r="BO30" s="83">
        <f t="shared" si="23"/>
        <v>0.4185232570126457</v>
      </c>
      <c r="BP30" s="86">
        <f t="shared" si="24"/>
        <v>5.4568535961206976E-2</v>
      </c>
      <c r="BQ30" s="86">
        <f t="shared" si="25"/>
        <v>-3.8076420894229824E-3</v>
      </c>
      <c r="BR30" s="87">
        <f t="shared" si="26"/>
        <v>-7.250382554041165E-3</v>
      </c>
      <c r="BS30" s="86">
        <f t="shared" si="27"/>
        <v>4.3510511317742827E-2</v>
      </c>
      <c r="BT30" s="85">
        <f t="shared" si="28"/>
        <v>5796.2569211718092</v>
      </c>
      <c r="BU30" s="84">
        <f t="shared" si="29"/>
        <v>280.93067882392688</v>
      </c>
      <c r="BV30" s="83">
        <f t="shared" si="30"/>
        <v>4.755652560111896</v>
      </c>
    </row>
    <row r="31" spans="2:74" x14ac:dyDescent="0.25">
      <c r="B31" s="99">
        <v>28</v>
      </c>
      <c r="C31" s="98">
        <v>45239.444178240701</v>
      </c>
      <c r="D31" s="73">
        <v>181.79783</v>
      </c>
      <c r="E31" s="73">
        <v>0.966233044198896</v>
      </c>
      <c r="F31" s="71">
        <v>19.994845672137</v>
      </c>
      <c r="G31" s="71">
        <v>27.296258898175601</v>
      </c>
      <c r="H31" s="152">
        <f t="shared" si="0"/>
        <v>4.7557616253569011</v>
      </c>
      <c r="I31" s="73">
        <v>61.403822580446104</v>
      </c>
      <c r="J31" s="75">
        <v>1.51647871499001E-5</v>
      </c>
      <c r="K31" s="74">
        <v>86304</v>
      </c>
      <c r="L31" s="73">
        <v>474.72513835836202</v>
      </c>
      <c r="M31" s="71">
        <v>99.864499056635594</v>
      </c>
      <c r="N31" s="73">
        <v>4.7472513835836203</v>
      </c>
      <c r="O31" s="151">
        <f t="shared" si="1"/>
        <v>-0.17894592798565861</v>
      </c>
      <c r="Q31" s="97">
        <f t="shared" si="2"/>
        <v>19.994845672137</v>
      </c>
      <c r="R31" s="97">
        <f t="shared" si="3"/>
        <v>28.262491942374496</v>
      </c>
      <c r="S31" s="67">
        <v>61.405984455399</v>
      </c>
      <c r="T31" s="67">
        <v>241.76989966747399</v>
      </c>
      <c r="U31" s="67">
        <v>1.2700028844069999</v>
      </c>
      <c r="V31" s="67">
        <v>93.14</v>
      </c>
      <c r="W31" s="67">
        <v>44.7</v>
      </c>
      <c r="X31" s="67">
        <f t="shared" si="4"/>
        <v>2.2350000000000002E-2</v>
      </c>
      <c r="Y31" s="67">
        <v>1</v>
      </c>
      <c r="Z31" s="67">
        <f t="shared" si="5"/>
        <v>0.99853877284079318</v>
      </c>
      <c r="AA31" s="96">
        <f t="shared" si="6"/>
        <v>1.0019463236421862</v>
      </c>
      <c r="AB31" s="96">
        <f t="shared" si="7"/>
        <v>4.7495407572511468</v>
      </c>
      <c r="AC31" s="76">
        <f t="shared" si="8"/>
        <v>-0.13080697889872547</v>
      </c>
      <c r="AD31" s="95">
        <f t="shared" si="9"/>
        <v>4.7557616253569011</v>
      </c>
      <c r="AE31" s="209"/>
      <c r="AF31" s="209"/>
      <c r="AG31" s="200"/>
      <c r="AH31" s="200"/>
      <c r="AI31" s="200"/>
      <c r="AJ31" s="200"/>
      <c r="AM31" s="76">
        <f t="shared" si="10"/>
        <v>4.7564910711868897</v>
      </c>
      <c r="AN31" s="76">
        <f t="shared" si="11"/>
        <v>1.5338149542639073E-2</v>
      </c>
      <c r="AO31" s="76">
        <f t="shared" si="12"/>
        <v>4.7557616253569011</v>
      </c>
      <c r="AP31" s="209"/>
      <c r="AQ31" s="209"/>
      <c r="AR31" s="200"/>
      <c r="AS31" s="200"/>
      <c r="AT31" s="200"/>
      <c r="AU31" s="200"/>
      <c r="AW31" s="85">
        <v>19.922196072163</v>
      </c>
      <c r="AX31" s="85">
        <v>27.1124130942958</v>
      </c>
      <c r="AY31" s="92">
        <v>280.83060287440901</v>
      </c>
      <c r="AZ31" s="92">
        <v>60.938136656345399</v>
      </c>
      <c r="BA31" s="94">
        <v>1.51556634191702E-5</v>
      </c>
      <c r="BB31" s="93">
        <v>82237</v>
      </c>
      <c r="BC31" s="92">
        <v>452.35413426001799</v>
      </c>
      <c r="BD31" s="91">
        <f t="shared" si="13"/>
        <v>2620482.7292675227</v>
      </c>
      <c r="BE31" s="90">
        <v>5798.78</v>
      </c>
      <c r="BF31" s="89">
        <f t="shared" si="14"/>
        <v>280.8306028744089</v>
      </c>
      <c r="BG31" s="83">
        <f t="shared" si="15"/>
        <v>0.41838130175716581</v>
      </c>
      <c r="BH31" s="86">
        <f t="shared" si="16"/>
        <v>5.4584469988014132E-2</v>
      </c>
      <c r="BI31" s="86">
        <f t="shared" si="17"/>
        <v>-3.8093258368104817E-3</v>
      </c>
      <c r="BJ31" s="87">
        <f t="shared" si="18"/>
        <v>-7.2486272172801441E-3</v>
      </c>
      <c r="BK31" s="86">
        <f t="shared" si="19"/>
        <v>4.3526516933923502E-2</v>
      </c>
      <c r="BL31" s="88">
        <f t="shared" si="20"/>
        <v>5796.255993041339</v>
      </c>
      <c r="BM31" s="85">
        <f t="shared" si="21"/>
        <v>280.95289188247045</v>
      </c>
      <c r="BN31" s="150">
        <f t="shared" si="22"/>
        <v>2621623.8308081832</v>
      </c>
      <c r="BO31" s="83">
        <f t="shared" si="23"/>
        <v>0.41857037617011345</v>
      </c>
      <c r="BP31" s="86">
        <f t="shared" si="24"/>
        <v>5.4563246310841015E-2</v>
      </c>
      <c r="BQ31" s="86">
        <f t="shared" si="25"/>
        <v>-3.807529783936542E-3</v>
      </c>
      <c r="BR31" s="87">
        <f t="shared" si="26"/>
        <v>-7.2517836661255908E-3</v>
      </c>
      <c r="BS31" s="86">
        <f t="shared" si="27"/>
        <v>4.3503932860778881E-2</v>
      </c>
      <c r="BT31" s="85">
        <f t="shared" si="28"/>
        <v>5796.257302642055</v>
      </c>
      <c r="BU31" s="84">
        <f t="shared" si="29"/>
        <v>280.95282840424835</v>
      </c>
      <c r="BV31" s="83">
        <f t="shared" si="30"/>
        <v>4.7557616253569011</v>
      </c>
    </row>
    <row r="32" spans="2:74" x14ac:dyDescent="0.25">
      <c r="B32" s="99">
        <v>30</v>
      </c>
      <c r="C32" s="98">
        <v>45239.450717592597</v>
      </c>
      <c r="D32" s="73">
        <v>187.38208</v>
      </c>
      <c r="E32" s="73">
        <v>0.96623804278074898</v>
      </c>
      <c r="F32" s="71">
        <v>20.044839361017001</v>
      </c>
      <c r="G32" s="71">
        <v>27.264669848551002</v>
      </c>
      <c r="H32" s="152">
        <f t="shared" si="0"/>
        <v>3.279583983165542</v>
      </c>
      <c r="I32" s="73">
        <v>61.300011753295998</v>
      </c>
      <c r="J32" s="75">
        <v>1.51661216716058E-5</v>
      </c>
      <c r="K32" s="74">
        <v>61472</v>
      </c>
      <c r="L32" s="73">
        <v>328.05698389088201</v>
      </c>
      <c r="M32" s="71">
        <v>100.08962833457601</v>
      </c>
      <c r="N32" s="73">
        <v>3.28056983890882</v>
      </c>
      <c r="O32" s="151">
        <f t="shared" si="1"/>
        <v>3.0060390230545516E-2</v>
      </c>
      <c r="Q32" s="97">
        <f t="shared" si="2"/>
        <v>20.044839361017001</v>
      </c>
      <c r="R32" s="97">
        <f t="shared" si="3"/>
        <v>28.23090789133175</v>
      </c>
      <c r="S32" s="67">
        <v>61.301994469347001</v>
      </c>
      <c r="T32" s="67">
        <v>241.84076203067499</v>
      </c>
      <c r="U32" s="67">
        <v>1.270014749595</v>
      </c>
      <c r="V32" s="67">
        <v>93.14</v>
      </c>
      <c r="W32" s="67">
        <v>44.7</v>
      </c>
      <c r="X32" s="67">
        <f t="shared" si="4"/>
        <v>2.2350000000000002E-2</v>
      </c>
      <c r="Y32" s="67">
        <v>1</v>
      </c>
      <c r="Z32" s="67">
        <f t="shared" si="5"/>
        <v>0.9985396277805898</v>
      </c>
      <c r="AA32" s="96">
        <f t="shared" si="6"/>
        <v>1.0019438818137947</v>
      </c>
      <c r="AB32" s="96">
        <f t="shared" si="7"/>
        <v>3.2821467130488515</v>
      </c>
      <c r="AC32" s="76">
        <f t="shared" si="8"/>
        <v>7.8141919721046671E-2</v>
      </c>
      <c r="AD32" s="95">
        <f t="shared" si="9"/>
        <v>3.279583983165542</v>
      </c>
      <c r="AE32" s="209">
        <f>AVERAGE(AD32:AD34)</f>
        <v>3.2797071540623466</v>
      </c>
      <c r="AF32" s="209">
        <f>AVERAGE(AC32:AC34)</f>
        <v>8.4887269224281706E-2</v>
      </c>
      <c r="AG32" s="200">
        <f>STDEV(AC32:AC34)</f>
        <v>1.7753207566737851E-2</v>
      </c>
      <c r="AH32" s="200">
        <f>AG32*4.303/SQRT(2)</f>
        <v>5.40173381108612E-2</v>
      </c>
      <c r="AI32" s="200">
        <v>0.25</v>
      </c>
      <c r="AJ32" s="200">
        <f>SQRT(AI32^2+AH32^2)</f>
        <v>0.25576917878544925</v>
      </c>
      <c r="AM32" s="76">
        <f t="shared" si="10"/>
        <v>3.2869468789575582</v>
      </c>
      <c r="AN32" s="76">
        <f t="shared" si="11"/>
        <v>0.22450700545589772</v>
      </c>
      <c r="AO32" s="76">
        <f t="shared" si="12"/>
        <v>3.279583983165542</v>
      </c>
      <c r="AP32" s="209">
        <f>AVERAGE(AO32:AO34)</f>
        <v>3.2797071540623466</v>
      </c>
      <c r="AQ32" s="209">
        <f>AVERAGE(AN32:AN34)</f>
        <v>0.23129295838415861</v>
      </c>
      <c r="AR32" s="200">
        <f>STDEV(AN32:AN34)</f>
        <v>1.7775166140451965E-2</v>
      </c>
      <c r="AS32" s="200">
        <f>AR32*4.303/SQRT(2)</f>
        <v>5.40841510344576E-2</v>
      </c>
      <c r="AT32" s="200">
        <v>0.25</v>
      </c>
      <c r="AU32" s="200">
        <f>SQRT(AT32^2+AS32^2)</f>
        <v>0.25578329772117259</v>
      </c>
      <c r="AW32" s="85">
        <v>19.986244252933002</v>
      </c>
      <c r="AX32" s="85">
        <v>27.184008009350102</v>
      </c>
      <c r="AY32" s="92">
        <v>193.09886054894099</v>
      </c>
      <c r="AZ32" s="92">
        <v>61.105879718440299</v>
      </c>
      <c r="BA32" s="94">
        <v>1.5160876186243401E-5</v>
      </c>
      <c r="BB32" s="93">
        <v>58283</v>
      </c>
      <c r="BC32" s="92">
        <v>311.03828071499697</v>
      </c>
      <c r="BD32" s="91">
        <f t="shared" si="13"/>
        <v>1806180.1363389862</v>
      </c>
      <c r="BE32" s="90">
        <v>5798.78</v>
      </c>
      <c r="BF32" s="89">
        <f t="shared" si="14"/>
        <v>193.09886054894119</v>
      </c>
      <c r="BG32" s="83">
        <f t="shared" si="15"/>
        <v>0.25676106176746644</v>
      </c>
      <c r="BH32" s="86">
        <f t="shared" si="16"/>
        <v>7.0253208329161002E-2</v>
      </c>
      <c r="BI32" s="86">
        <f t="shared" si="17"/>
        <v>-5.7338176666979282E-3</v>
      </c>
      <c r="BJ32" s="87">
        <f t="shared" si="18"/>
        <v>-4.985157032141036E-3</v>
      </c>
      <c r="BK32" s="86">
        <f t="shared" si="19"/>
        <v>5.953423363032203E-2</v>
      </c>
      <c r="BL32" s="88">
        <f t="shared" si="20"/>
        <v>5795.3277407670912</v>
      </c>
      <c r="BM32" s="85">
        <f t="shared" si="21"/>
        <v>193.21388895699909</v>
      </c>
      <c r="BN32" s="150">
        <f t="shared" si="22"/>
        <v>1807256.0723914218</v>
      </c>
      <c r="BO32" s="83">
        <f t="shared" si="23"/>
        <v>0.2570196926535655</v>
      </c>
      <c r="BP32" s="86">
        <f t="shared" si="24"/>
        <v>7.0232735127700105E-2</v>
      </c>
      <c r="BQ32" s="86">
        <f t="shared" si="25"/>
        <v>-5.7300060539563552E-3</v>
      </c>
      <c r="BR32" s="87">
        <f t="shared" si="26"/>
        <v>-4.988126675129584E-3</v>
      </c>
      <c r="BS32" s="86">
        <f t="shared" si="27"/>
        <v>5.9514602398614169E-2</v>
      </c>
      <c r="BT32" s="85">
        <f t="shared" si="28"/>
        <v>5795.3288791390296</v>
      </c>
      <c r="BU32" s="84">
        <f t="shared" si="29"/>
        <v>193.21385100414534</v>
      </c>
      <c r="BV32" s="83">
        <f t="shared" si="30"/>
        <v>3.279583983165542</v>
      </c>
    </row>
    <row r="33" spans="1:74" x14ac:dyDescent="0.25">
      <c r="B33" s="99">
        <v>31</v>
      </c>
      <c r="C33" s="98">
        <v>45239.4531712963</v>
      </c>
      <c r="D33" s="73">
        <v>186.64161999999999</v>
      </c>
      <c r="E33" s="73">
        <v>0.96625044864864795</v>
      </c>
      <c r="F33" s="71">
        <v>19.996431324351999</v>
      </c>
      <c r="G33" s="71">
        <v>27.255522284426601</v>
      </c>
      <c r="H33" s="152">
        <f t="shared" si="0"/>
        <v>3.2796055538669604</v>
      </c>
      <c r="I33" s="73">
        <v>61.293875209577898</v>
      </c>
      <c r="J33" s="75">
        <v>1.51635852036212E-5</v>
      </c>
      <c r="K33" s="74">
        <v>61246</v>
      </c>
      <c r="L33" s="73">
        <v>328.147601804999</v>
      </c>
      <c r="M33" s="71">
        <v>100.11660774245701</v>
      </c>
      <c r="N33" s="73">
        <v>3.28147601804999</v>
      </c>
      <c r="O33" s="151">
        <f t="shared" si="1"/>
        <v>5.7033205740981745E-2</v>
      </c>
      <c r="Q33" s="97">
        <f t="shared" si="2"/>
        <v>19.996431324351999</v>
      </c>
      <c r="R33" s="97">
        <f t="shared" si="3"/>
        <v>28.221772733075248</v>
      </c>
      <c r="S33" s="67">
        <v>61.295965981305002</v>
      </c>
      <c r="T33" s="67">
        <v>241.81387106104</v>
      </c>
      <c r="U33" s="67">
        <v>1.2700184272120001</v>
      </c>
      <c r="V33" s="67">
        <v>93.14</v>
      </c>
      <c r="W33" s="67">
        <v>44.7</v>
      </c>
      <c r="X33" s="67">
        <f t="shared" si="4"/>
        <v>2.2350000000000002E-2</v>
      </c>
      <c r="Y33" s="67">
        <v>1</v>
      </c>
      <c r="Z33" s="67">
        <f t="shared" si="5"/>
        <v>0.9985393034349066</v>
      </c>
      <c r="AA33" s="96">
        <f t="shared" si="6"/>
        <v>1.0019431747107999</v>
      </c>
      <c r="AB33" s="96">
        <f t="shared" si="7"/>
        <v>3.2830499444101546</v>
      </c>
      <c r="AC33" s="76">
        <f t="shared" si="8"/>
        <v>0.10502453684202888</v>
      </c>
      <c r="AD33" s="95">
        <f t="shared" si="9"/>
        <v>3.2796055538669604</v>
      </c>
      <c r="AE33" s="209"/>
      <c r="AF33" s="209"/>
      <c r="AG33" s="200"/>
      <c r="AH33" s="200"/>
      <c r="AI33" s="200"/>
      <c r="AJ33" s="200"/>
      <c r="AM33" s="76">
        <f t="shared" si="10"/>
        <v>3.2878524992623608</v>
      </c>
      <c r="AN33" s="76">
        <f t="shared" si="11"/>
        <v>0.25146150230403375</v>
      </c>
      <c r="AO33" s="76">
        <f t="shared" si="12"/>
        <v>3.2796055538669604</v>
      </c>
      <c r="AP33" s="209"/>
      <c r="AQ33" s="209"/>
      <c r="AR33" s="200"/>
      <c r="AS33" s="200"/>
      <c r="AT33" s="200"/>
      <c r="AU33" s="200"/>
      <c r="AW33" s="85">
        <v>19.920519143661</v>
      </c>
      <c r="AX33" s="85">
        <v>27.174727124795801</v>
      </c>
      <c r="AY33" s="92">
        <v>193.09989636687499</v>
      </c>
      <c r="AZ33" s="92">
        <v>61.105959624510497</v>
      </c>
      <c r="BA33" s="94">
        <v>1.5157530122888299E-5</v>
      </c>
      <c r="BB33" s="93">
        <v>58053</v>
      </c>
      <c r="BC33" s="92">
        <v>311.039949181753</v>
      </c>
      <c r="BD33" s="91">
        <f t="shared" si="13"/>
        <v>1806590.908437921</v>
      </c>
      <c r="BE33" s="90">
        <v>5798.78</v>
      </c>
      <c r="BF33" s="89">
        <f t="shared" si="14"/>
        <v>193.09989636687558</v>
      </c>
      <c r="BG33" s="83">
        <f t="shared" si="15"/>
        <v>0.25685982034056443</v>
      </c>
      <c r="BH33" s="86">
        <f t="shared" si="16"/>
        <v>7.0245392545635763E-2</v>
      </c>
      <c r="BI33" s="86">
        <f t="shared" si="17"/>
        <v>-5.7337758233102594E-3</v>
      </c>
      <c r="BJ33" s="87">
        <f t="shared" si="18"/>
        <v>-4.9868322087050429E-3</v>
      </c>
      <c r="BK33" s="86">
        <f t="shared" si="19"/>
        <v>5.9524784513620456E-2</v>
      </c>
      <c r="BL33" s="88">
        <f t="shared" si="20"/>
        <v>5795.3282887005807</v>
      </c>
      <c r="BM33" s="85">
        <f t="shared" si="21"/>
        <v>193.21490712398935</v>
      </c>
      <c r="BN33" s="150">
        <f t="shared" si="22"/>
        <v>1807666.9182757488</v>
      </c>
      <c r="BO33" s="83">
        <f t="shared" si="23"/>
        <v>0.25711841016522746</v>
      </c>
      <c r="BP33" s="86">
        <f t="shared" si="24"/>
        <v>7.0224916328112702E-2</v>
      </c>
      <c r="BQ33" s="86">
        <f t="shared" si="25"/>
        <v>-5.7299648451972583E-3</v>
      </c>
      <c r="BR33" s="87">
        <f t="shared" si="26"/>
        <v>-4.989802377818096E-3</v>
      </c>
      <c r="BS33" s="86">
        <f t="shared" si="27"/>
        <v>5.9505149105097341E-2</v>
      </c>
      <c r="BT33" s="85">
        <f t="shared" si="28"/>
        <v>5795.329427314723</v>
      </c>
      <c r="BU33" s="84">
        <f t="shared" si="29"/>
        <v>193.21486916286418</v>
      </c>
      <c r="BV33" s="83">
        <f t="shared" si="30"/>
        <v>3.2796055538669604</v>
      </c>
    </row>
    <row r="34" spans="1:74" x14ac:dyDescent="0.25">
      <c r="B34" s="99">
        <v>32</v>
      </c>
      <c r="C34" s="98">
        <v>45239.455590277801</v>
      </c>
      <c r="D34" s="73">
        <v>187.23408000000001</v>
      </c>
      <c r="E34" s="73">
        <v>0.96627249999999898</v>
      </c>
      <c r="F34" s="71">
        <v>19.956276854548999</v>
      </c>
      <c r="G34" s="71">
        <v>27.2479889701419</v>
      </c>
      <c r="H34" s="152">
        <f t="shared" si="0"/>
        <v>3.2799319251545378</v>
      </c>
      <c r="I34" s="73">
        <v>61.2892565783932</v>
      </c>
      <c r="J34" s="75">
        <v>1.5161486581751001E-5</v>
      </c>
      <c r="K34" s="74">
        <v>61426</v>
      </c>
      <c r="L34" s="73">
        <v>328.07061620405898</v>
      </c>
      <c r="M34" s="71">
        <v>100.08314801011799</v>
      </c>
      <c r="N34" s="73">
        <v>3.2807061620405902</v>
      </c>
      <c r="O34" s="151">
        <f t="shared" si="1"/>
        <v>2.3605273027607204E-2</v>
      </c>
      <c r="Q34" s="97">
        <f t="shared" si="2"/>
        <v>19.956276854548999</v>
      </c>
      <c r="R34" s="97">
        <f t="shared" si="3"/>
        <v>28.214261470141899</v>
      </c>
      <c r="S34" s="67">
        <v>61.291141555562</v>
      </c>
      <c r="T34" s="67">
        <v>241.791492619747</v>
      </c>
      <c r="U34" s="67">
        <v>1.2700214497240001</v>
      </c>
      <c r="V34" s="67">
        <v>93.14</v>
      </c>
      <c r="W34" s="67">
        <v>44.7</v>
      </c>
      <c r="X34" s="67">
        <f t="shared" si="4"/>
        <v>2.2350000000000002E-2</v>
      </c>
      <c r="Y34" s="67">
        <v>1</v>
      </c>
      <c r="Z34" s="67">
        <f t="shared" si="5"/>
        <v>0.99853903343478201</v>
      </c>
      <c r="AA34" s="96">
        <f t="shared" si="6"/>
        <v>1.0019425923894121</v>
      </c>
      <c r="AB34" s="96">
        <f t="shared" si="7"/>
        <v>3.2822769240005885</v>
      </c>
      <c r="AC34" s="76">
        <f t="shared" si="8"/>
        <v>7.1495351109769553E-2</v>
      </c>
      <c r="AD34" s="95">
        <f t="shared" si="9"/>
        <v>3.2799319251545378</v>
      </c>
      <c r="AE34" s="209"/>
      <c r="AF34" s="209"/>
      <c r="AG34" s="200"/>
      <c r="AH34" s="200"/>
      <c r="AI34" s="200"/>
      <c r="AJ34" s="200"/>
      <c r="AM34" s="76">
        <f t="shared" si="10"/>
        <v>3.2870792368628674</v>
      </c>
      <c r="AN34" s="76">
        <f t="shared" si="11"/>
        <v>0.21791036739254435</v>
      </c>
      <c r="AO34" s="76">
        <f t="shared" si="12"/>
        <v>3.2799319251545378</v>
      </c>
      <c r="AP34" s="209"/>
      <c r="AQ34" s="209"/>
      <c r="AR34" s="200"/>
      <c r="AS34" s="200"/>
      <c r="AT34" s="200"/>
      <c r="AU34" s="200"/>
      <c r="AW34" s="85">
        <v>19.856999307574998</v>
      </c>
      <c r="AX34" s="85">
        <v>27.167280140933499</v>
      </c>
      <c r="AY34" s="92">
        <v>193.105603662883</v>
      </c>
      <c r="AZ34" s="92">
        <v>61.110241687654998</v>
      </c>
      <c r="BA34" s="94">
        <v>1.51543449932076E-5</v>
      </c>
      <c r="BB34" s="93">
        <v>58239</v>
      </c>
      <c r="BC34" s="92">
        <v>311.04914233562602</v>
      </c>
      <c r="BD34" s="91">
        <f t="shared" si="13"/>
        <v>1807150.652685022</v>
      </c>
      <c r="BE34" s="90">
        <v>5798.78</v>
      </c>
      <c r="BF34" s="89">
        <f t="shared" si="14"/>
        <v>193.1056036628832</v>
      </c>
      <c r="BG34" s="83">
        <f t="shared" si="15"/>
        <v>0.25699435892647354</v>
      </c>
      <c r="BH34" s="86">
        <f t="shared" si="16"/>
        <v>7.0234741268924553E-2</v>
      </c>
      <c r="BI34" s="86">
        <f t="shared" si="17"/>
        <v>-5.7331848301897361E-3</v>
      </c>
      <c r="BJ34" s="87">
        <f t="shared" si="18"/>
        <v>-4.988645310817828E-3</v>
      </c>
      <c r="BK34" s="86">
        <f t="shared" si="19"/>
        <v>5.9512911127916984E-2</v>
      </c>
      <c r="BL34" s="88">
        <f t="shared" si="20"/>
        <v>5795.3289772120961</v>
      </c>
      <c r="BM34" s="85">
        <f t="shared" si="21"/>
        <v>193.22059486378529</v>
      </c>
      <c r="BN34" s="150">
        <f t="shared" si="22"/>
        <v>1808226.7810822385</v>
      </c>
      <c r="BO34" s="83">
        <f t="shared" si="23"/>
        <v>0.25725289715496807</v>
      </c>
      <c r="BP34" s="86">
        <f t="shared" si="24"/>
        <v>7.0214260603156692E-2</v>
      </c>
      <c r="BQ34" s="86">
        <f t="shared" si="25"/>
        <v>-5.7293750153179796E-3</v>
      </c>
      <c r="BR34" s="87">
        <f t="shared" si="26"/>
        <v>-4.9916159667919907E-3</v>
      </c>
      <c r="BS34" s="86">
        <f t="shared" si="27"/>
        <v>5.9493269621046722E-2</v>
      </c>
      <c r="BT34" s="85">
        <f t="shared" si="28"/>
        <v>5795.3301161798681</v>
      </c>
      <c r="BU34" s="84">
        <f t="shared" si="29"/>
        <v>193.22055688975689</v>
      </c>
      <c r="BV34" s="83">
        <f t="shared" si="30"/>
        <v>3.2799319251545378</v>
      </c>
    </row>
    <row r="35" spans="1:74" x14ac:dyDescent="0.25">
      <c r="B35" s="99">
        <v>34</v>
      </c>
      <c r="C35" s="98">
        <v>45239.46125</v>
      </c>
      <c r="D35" s="73">
        <v>181.81173000000001</v>
      </c>
      <c r="E35" s="73">
        <v>0.96622327624309201</v>
      </c>
      <c r="F35" s="71">
        <v>20.013295512155999</v>
      </c>
      <c r="G35" s="71">
        <v>27.232076192631499</v>
      </c>
      <c r="H35" s="152">
        <f t="shared" si="0"/>
        <v>1.5836626683443307</v>
      </c>
      <c r="I35" s="73">
        <v>61.224481219409398</v>
      </c>
      <c r="J35" s="75">
        <v>1.51636350154675E-5</v>
      </c>
      <c r="K35" s="74">
        <v>28820</v>
      </c>
      <c r="L35" s="73">
        <v>158.51562492695101</v>
      </c>
      <c r="M35" s="71">
        <v>100.16105152750001</v>
      </c>
      <c r="N35" s="73">
        <v>1.5851562492695099</v>
      </c>
      <c r="O35" s="151">
        <f t="shared" si="1"/>
        <v>9.4311809897037774E-2</v>
      </c>
      <c r="Q35" s="97">
        <f t="shared" si="2"/>
        <v>20.013295512155999</v>
      </c>
      <c r="R35" s="97">
        <f t="shared" si="3"/>
        <v>28.198299468874591</v>
      </c>
      <c r="S35" s="67">
        <v>61.226498625243003</v>
      </c>
      <c r="T35" s="67">
        <v>241.85122068671501</v>
      </c>
      <c r="U35" s="67">
        <v>1.27002734838</v>
      </c>
      <c r="V35" s="67">
        <v>93.14</v>
      </c>
      <c r="W35" s="67">
        <v>44.7</v>
      </c>
      <c r="X35" s="67">
        <f t="shared" si="4"/>
        <v>2.2350000000000002E-2</v>
      </c>
      <c r="Y35" s="67">
        <v>1</v>
      </c>
      <c r="Z35" s="67">
        <f t="shared" si="5"/>
        <v>0.99853975389860417</v>
      </c>
      <c r="AA35" s="96">
        <f t="shared" si="6"/>
        <v>1.0019413623419757</v>
      </c>
      <c r="AB35" s="96">
        <f t="shared" si="7"/>
        <v>1.58591439997808</v>
      </c>
      <c r="AC35" s="76">
        <f t="shared" si="8"/>
        <v>0.14218505485789343</v>
      </c>
      <c r="AD35" s="95">
        <f t="shared" si="9"/>
        <v>1.5836626683443307</v>
      </c>
      <c r="AE35" s="209">
        <f>AVERAGE(AD35:AD37)</f>
        <v>1.5833020177938384</v>
      </c>
      <c r="AF35" s="209">
        <f>AVERAGE(AC35:AC37)</f>
        <v>0.16110641583106536</v>
      </c>
      <c r="AG35" s="200">
        <f>STDEV(AC35:AC37)</f>
        <v>2.3145484119839195E-2</v>
      </c>
      <c r="AH35" s="200">
        <f>AG35*4.303/SQRT(2)</f>
        <v>7.0424312718755475E-2</v>
      </c>
      <c r="AI35" s="200">
        <v>0.25</v>
      </c>
      <c r="AJ35" s="200">
        <f>SQRT(AI35^2+AH35^2)</f>
        <v>0.25972982851784476</v>
      </c>
      <c r="AM35" s="76">
        <f t="shared" si="10"/>
        <v>1.5882336119179892</v>
      </c>
      <c r="AN35" s="76">
        <f t="shared" si="11"/>
        <v>0.28863113749074359</v>
      </c>
      <c r="AO35" s="76">
        <f t="shared" si="12"/>
        <v>1.5836626683443307</v>
      </c>
      <c r="AP35" s="209">
        <f>AVERAGE(AO35:AO37)</f>
        <v>1.5833020177938384</v>
      </c>
      <c r="AQ35" s="209">
        <f>AVERAGE(AN35:AN37)</f>
        <v>0.30760419912292014</v>
      </c>
      <c r="AR35" s="200">
        <f>STDEV(AN35:AN37)</f>
        <v>2.321102130332699E-2</v>
      </c>
      <c r="AS35" s="200">
        <f>AR35*4.303/SQRT(2)</f>
        <v>7.0623721427631639E-2</v>
      </c>
      <c r="AT35" s="200">
        <v>0.25</v>
      </c>
      <c r="AU35" s="200">
        <f>SQRT(AT35^2+AS35^2)</f>
        <v>0.25978396799704118</v>
      </c>
      <c r="AW35" s="85">
        <v>19.822910375306002</v>
      </c>
      <c r="AX35" s="85">
        <v>27.223810162798099</v>
      </c>
      <c r="AY35" s="92">
        <v>92.980442879124496</v>
      </c>
      <c r="AZ35" s="92">
        <v>61.2751089641283</v>
      </c>
      <c r="BA35" s="94">
        <v>1.5154529467449501E-5</v>
      </c>
      <c r="BB35" s="93">
        <v>27230</v>
      </c>
      <c r="BC35" s="92">
        <v>149.77031459961401</v>
      </c>
      <c r="BD35" s="91">
        <f t="shared" si="13"/>
        <v>872480.83710071782</v>
      </c>
      <c r="BE35" s="90">
        <v>5798.78</v>
      </c>
      <c r="BF35" s="89">
        <f t="shared" si="14"/>
        <v>92.980442879124652</v>
      </c>
      <c r="BG35" s="83">
        <f t="shared" si="15"/>
        <v>-5.9244102973721791E-2</v>
      </c>
      <c r="BH35" s="86">
        <f t="shared" si="16"/>
        <v>8.2393516583505966E-2</v>
      </c>
      <c r="BI35" s="86">
        <f t="shared" si="17"/>
        <v>-1.3366741231782208E-2</v>
      </c>
      <c r="BJ35" s="87">
        <f t="shared" si="18"/>
        <v>-2.4036898969206537E-3</v>
      </c>
      <c r="BK35" s="86">
        <f t="shared" si="19"/>
        <v>6.662308545480311E-2</v>
      </c>
      <c r="BL35" s="88">
        <f t="shared" si="20"/>
        <v>5794.9166738452641</v>
      </c>
      <c r="BM35" s="85">
        <f t="shared" si="21"/>
        <v>93.042430617183967</v>
      </c>
      <c r="BN35" s="150">
        <f t="shared" si="22"/>
        <v>873062.49827501748</v>
      </c>
      <c r="BO35" s="83">
        <f t="shared" si="23"/>
        <v>-5.8954666163341649E-2</v>
      </c>
      <c r="BP35" s="86">
        <f t="shared" si="24"/>
        <v>8.2393617719317525E-2</v>
      </c>
      <c r="BQ35" s="86">
        <f t="shared" si="25"/>
        <v>-1.3355920245883935E-2</v>
      </c>
      <c r="BR35" s="87">
        <f t="shared" si="26"/>
        <v>-2.4052923769163647E-3</v>
      </c>
      <c r="BS35" s="86">
        <f t="shared" si="27"/>
        <v>6.663240509651723E-2</v>
      </c>
      <c r="BT35" s="85">
        <f t="shared" si="28"/>
        <v>5794.9161334197443</v>
      </c>
      <c r="BU35" s="84">
        <f t="shared" si="29"/>
        <v>93.042439294186821</v>
      </c>
      <c r="BV35" s="83">
        <f t="shared" si="30"/>
        <v>1.5836626683443307</v>
      </c>
    </row>
    <row r="36" spans="1:74" x14ac:dyDescent="0.25">
      <c r="B36" s="99">
        <v>35</v>
      </c>
      <c r="C36" s="98">
        <v>45239.464421296303</v>
      </c>
      <c r="D36" s="73">
        <v>190.37128999999999</v>
      </c>
      <c r="E36" s="73">
        <v>0.96623116489361704</v>
      </c>
      <c r="F36" s="71">
        <v>19.925883936687001</v>
      </c>
      <c r="G36" s="71">
        <v>27.216548983370501</v>
      </c>
      <c r="H36" s="152">
        <f t="shared" si="0"/>
        <v>1.5831194006771403</v>
      </c>
      <c r="I36" s="73">
        <v>61.216200149617997</v>
      </c>
      <c r="J36" s="75">
        <v>1.5159087258217501E-5</v>
      </c>
      <c r="K36" s="74">
        <v>30180</v>
      </c>
      <c r="L36" s="73">
        <v>158.53230810170999</v>
      </c>
      <c r="M36" s="71">
        <v>100.205963776948</v>
      </c>
      <c r="N36" s="73">
        <v>1.5853230810171</v>
      </c>
      <c r="O36" s="151">
        <f t="shared" si="1"/>
        <v>0.13919861881656476</v>
      </c>
      <c r="Q36" s="97">
        <f t="shared" si="2"/>
        <v>19.925883936687001</v>
      </c>
      <c r="R36" s="97">
        <f t="shared" si="3"/>
        <v>28.182780148264118</v>
      </c>
      <c r="S36" s="67">
        <v>61.218189077421997</v>
      </c>
      <c r="T36" s="67">
        <v>241.80166905569001</v>
      </c>
      <c r="U36" s="67">
        <v>1.2700336684610001</v>
      </c>
      <c r="V36" s="67">
        <v>93.14</v>
      </c>
      <c r="W36" s="67">
        <v>44.7</v>
      </c>
      <c r="X36" s="67">
        <f t="shared" si="4"/>
        <v>2.2350000000000002E-2</v>
      </c>
      <c r="Y36" s="67">
        <v>1</v>
      </c>
      <c r="Z36" s="67">
        <f t="shared" si="5"/>
        <v>0.99853915622468103</v>
      </c>
      <c r="AA36" s="96">
        <f t="shared" si="6"/>
        <v>1.0019401621016277</v>
      </c>
      <c r="AB36" s="96">
        <f t="shared" si="7"/>
        <v>1.5860784621833908</v>
      </c>
      <c r="AC36" s="76">
        <f t="shared" si="8"/>
        <v>0.18691334999651987</v>
      </c>
      <c r="AD36" s="95">
        <f t="shared" si="9"/>
        <v>1.5831194006771403</v>
      </c>
      <c r="AE36" s="209"/>
      <c r="AF36" s="209"/>
      <c r="AG36" s="200"/>
      <c r="AH36" s="200"/>
      <c r="AI36" s="200"/>
      <c r="AJ36" s="200"/>
      <c r="AM36" s="76">
        <f t="shared" si="10"/>
        <v>1.588398864777725</v>
      </c>
      <c r="AN36" s="76">
        <f t="shared" si="11"/>
        <v>0.33348489686415961</v>
      </c>
      <c r="AO36" s="76">
        <f t="shared" si="12"/>
        <v>1.5831194006771403</v>
      </c>
      <c r="AP36" s="209"/>
      <c r="AQ36" s="209"/>
      <c r="AR36" s="200"/>
      <c r="AS36" s="200"/>
      <c r="AT36" s="200"/>
      <c r="AU36" s="200"/>
      <c r="AW36" s="85">
        <v>19.805312161105</v>
      </c>
      <c r="AX36" s="85">
        <v>27.208697600508199</v>
      </c>
      <c r="AY36" s="92">
        <v>93.000113867330597</v>
      </c>
      <c r="AZ36" s="92">
        <v>61.241135379304701</v>
      </c>
      <c r="BA36" s="94">
        <v>1.51532370993118E-5</v>
      </c>
      <c r="BB36" s="93">
        <v>28518</v>
      </c>
      <c r="BC36" s="92">
        <v>149.80200008099999</v>
      </c>
      <c r="BD36" s="91">
        <f t="shared" si="13"/>
        <v>872255.96132600319</v>
      </c>
      <c r="BE36" s="90">
        <v>5798.78</v>
      </c>
      <c r="BF36" s="89">
        <f t="shared" si="14"/>
        <v>93.000113867330711</v>
      </c>
      <c r="BG36" s="83">
        <f t="shared" si="15"/>
        <v>-5.9356053737528849E-2</v>
      </c>
      <c r="BH36" s="86">
        <f t="shared" si="16"/>
        <v>8.2393472764724557E-2</v>
      </c>
      <c r="BI36" s="86">
        <f t="shared" si="17"/>
        <v>-1.3370718803814741E-2</v>
      </c>
      <c r="BJ36" s="87">
        <f t="shared" si="18"/>
        <v>-2.4041536147920801E-3</v>
      </c>
      <c r="BK36" s="86">
        <f t="shared" si="19"/>
        <v>6.6618600346117732E-2</v>
      </c>
      <c r="BL36" s="88">
        <f t="shared" si="20"/>
        <v>5794.9169339268492</v>
      </c>
      <c r="BM36" s="85">
        <f t="shared" si="21"/>
        <v>93.0621105428269</v>
      </c>
      <c r="BN36" s="150">
        <f t="shared" si="22"/>
        <v>872837.43340743624</v>
      </c>
      <c r="BO36" s="83">
        <f t="shared" si="23"/>
        <v>-5.9066636418713681E-2</v>
      </c>
      <c r="BP36" s="86">
        <f t="shared" si="24"/>
        <v>8.2393580673578784E-2</v>
      </c>
      <c r="BQ36" s="86">
        <f t="shared" si="25"/>
        <v>-1.3359895644555465E-2</v>
      </c>
      <c r="BR36" s="87">
        <f t="shared" si="26"/>
        <v>-2.40575629596419E-3</v>
      </c>
      <c r="BS36" s="86">
        <f t="shared" si="27"/>
        <v>6.662792873305913E-2</v>
      </c>
      <c r="BT36" s="85">
        <f t="shared" si="28"/>
        <v>5794.9163929942133</v>
      </c>
      <c r="BU36" s="84">
        <f t="shared" si="29"/>
        <v>93.062119229808616</v>
      </c>
      <c r="BV36" s="83">
        <f t="shared" si="30"/>
        <v>1.5831194006771403</v>
      </c>
    </row>
    <row r="37" spans="1:74" x14ac:dyDescent="0.25">
      <c r="B37" s="99">
        <v>36</v>
      </c>
      <c r="C37" s="98">
        <v>45239.4672685185</v>
      </c>
      <c r="D37" s="73">
        <v>188.19297</v>
      </c>
      <c r="E37" s="73">
        <v>0.96623006417112201</v>
      </c>
      <c r="F37" s="71">
        <v>19.979970139241001</v>
      </c>
      <c r="G37" s="71">
        <v>27.217626924788298</v>
      </c>
      <c r="H37" s="152">
        <f t="shared" si="0"/>
        <v>1.5831239843600442</v>
      </c>
      <c r="I37" s="73">
        <v>61.198343530124802</v>
      </c>
      <c r="J37" s="75">
        <v>1.5161633496520499E-5</v>
      </c>
      <c r="K37" s="74">
        <v>29825</v>
      </c>
      <c r="L37" s="73">
        <v>158.48094644555499</v>
      </c>
      <c r="M37" s="71">
        <v>100.173208713796</v>
      </c>
      <c r="N37" s="73">
        <v>1.5848094644555499</v>
      </c>
      <c r="O37" s="151">
        <f t="shared" si="1"/>
        <v>0.10646545135800362</v>
      </c>
      <c r="Q37" s="97">
        <f t="shared" si="2"/>
        <v>19.979970139241001</v>
      </c>
      <c r="R37" s="97">
        <f t="shared" si="3"/>
        <v>28.18385698895942</v>
      </c>
      <c r="S37" s="67">
        <v>61.200443201342999</v>
      </c>
      <c r="T37" s="67">
        <v>241.84128326691899</v>
      </c>
      <c r="U37" s="67">
        <v>1.2700330363200001</v>
      </c>
      <c r="V37" s="67">
        <v>93.14</v>
      </c>
      <c r="W37" s="67">
        <v>44.7</v>
      </c>
      <c r="X37" s="67">
        <f t="shared" si="4"/>
        <v>2.2350000000000002E-2</v>
      </c>
      <c r="Y37" s="67">
        <v>1</v>
      </c>
      <c r="Z37" s="67">
        <f t="shared" si="5"/>
        <v>0.99853963406641899</v>
      </c>
      <c r="AA37" s="96">
        <f t="shared" si="6"/>
        <v>1.0019402454255089</v>
      </c>
      <c r="AB37" s="96">
        <f t="shared" si="7"/>
        <v>1.5855654915087409</v>
      </c>
      <c r="AC37" s="76">
        <f t="shared" si="8"/>
        <v>0.15422084263878272</v>
      </c>
      <c r="AD37" s="95">
        <f t="shared" si="9"/>
        <v>1.5831239843600442</v>
      </c>
      <c r="AE37" s="209"/>
      <c r="AF37" s="209"/>
      <c r="AG37" s="200"/>
      <c r="AH37" s="200"/>
      <c r="AI37" s="200"/>
      <c r="AJ37" s="200"/>
      <c r="AM37" s="76">
        <f t="shared" si="10"/>
        <v>1.5878843837692629</v>
      </c>
      <c r="AN37" s="76">
        <f t="shared" si="11"/>
        <v>0.30069656301385711</v>
      </c>
      <c r="AO37" s="76">
        <f t="shared" si="12"/>
        <v>1.5831239843600442</v>
      </c>
      <c r="AP37" s="209"/>
      <c r="AQ37" s="209"/>
      <c r="AR37" s="200"/>
      <c r="AS37" s="200"/>
      <c r="AT37" s="200"/>
      <c r="AU37" s="200"/>
      <c r="AW37" s="85">
        <v>19.800638022931</v>
      </c>
      <c r="AX37" s="85">
        <v>27.209471860079599</v>
      </c>
      <c r="AY37" s="92">
        <v>92.994560890658605</v>
      </c>
      <c r="AZ37" s="92">
        <v>61.2449696351418</v>
      </c>
      <c r="BA37" s="94">
        <v>1.51530437132901E-5</v>
      </c>
      <c r="BB37" s="93">
        <v>28190</v>
      </c>
      <c r="BC37" s="92">
        <v>149.79305550042599</v>
      </c>
      <c r="BD37" s="91">
        <f t="shared" si="13"/>
        <v>872269.61936426535</v>
      </c>
      <c r="BE37" s="90">
        <v>5798.78</v>
      </c>
      <c r="BF37" s="89">
        <f t="shared" si="14"/>
        <v>92.994560890658647</v>
      </c>
      <c r="BG37" s="83">
        <f t="shared" si="15"/>
        <v>-5.9349253481096161E-2</v>
      </c>
      <c r="BH37" s="86">
        <f t="shared" si="16"/>
        <v>8.2393475501194052E-2</v>
      </c>
      <c r="BI37" s="86">
        <f t="shared" si="17"/>
        <v>-1.33708519138866E-2</v>
      </c>
      <c r="BJ37" s="87">
        <f t="shared" si="18"/>
        <v>-2.4040946057097526E-3</v>
      </c>
      <c r="BK37" s="86">
        <f t="shared" si="19"/>
        <v>6.6618528981597702E-2</v>
      </c>
      <c r="BL37" s="88">
        <f t="shared" si="20"/>
        <v>5794.916938065121</v>
      </c>
      <c r="BM37" s="85">
        <f t="shared" si="21"/>
        <v>93.05655379791979</v>
      </c>
      <c r="BN37" s="150">
        <f t="shared" si="22"/>
        <v>872851.09992723668</v>
      </c>
      <c r="BO37" s="83">
        <f t="shared" si="23"/>
        <v>-5.9059836472419809E-2</v>
      </c>
      <c r="BP37" s="86">
        <f t="shared" si="24"/>
        <v>8.2393582998207343E-2</v>
      </c>
      <c r="BQ37" s="86">
        <f t="shared" si="25"/>
        <v>-1.3360028568696392E-2</v>
      </c>
      <c r="BR37" s="87">
        <f t="shared" si="26"/>
        <v>-2.4056972458266729E-3</v>
      </c>
      <c r="BS37" s="86">
        <f t="shared" si="27"/>
        <v>6.6627857183684275E-2</v>
      </c>
      <c r="BT37" s="85">
        <f t="shared" si="28"/>
        <v>5794.9163971432035</v>
      </c>
      <c r="BU37" s="84">
        <f t="shared" si="29"/>
        <v>93.056562484210687</v>
      </c>
      <c r="BV37" s="83">
        <f t="shared" si="30"/>
        <v>1.5831239843600442</v>
      </c>
    </row>
    <row r="38" spans="1:74" x14ac:dyDescent="0.25">
      <c r="B38" s="99">
        <v>37</v>
      </c>
      <c r="C38" s="98">
        <v>45239.477835648097</v>
      </c>
      <c r="D38" s="73">
        <v>61.81861</v>
      </c>
      <c r="E38" s="73">
        <v>0.96601767741935496</v>
      </c>
      <c r="F38" s="71">
        <v>19.775680028067999</v>
      </c>
      <c r="G38" s="71">
        <v>27.207975610824199</v>
      </c>
      <c r="H38" s="152" t="e">
        <f t="shared" si="0"/>
        <v>#NUM!</v>
      </c>
      <c r="I38" s="73">
        <v>61.250059725295102</v>
      </c>
      <c r="J38" s="75">
        <v>1.51518317916538E-5</v>
      </c>
      <c r="K38" s="74">
        <v>8</v>
      </c>
      <c r="L38" s="73">
        <v>0.12941086834530899</v>
      </c>
      <c r="M38" s="71" t="s">
        <v>132</v>
      </c>
      <c r="N38" s="73">
        <v>1.2941086834530901E-3</v>
      </c>
      <c r="O38" s="151" t="e">
        <f t="shared" si="1"/>
        <v>#NUM!</v>
      </c>
      <c r="Q38" s="97">
        <f t="shared" si="2"/>
        <v>19.775680028067999</v>
      </c>
      <c r="R38" s="97">
        <f t="shared" si="3"/>
        <v>28.173993288243555</v>
      </c>
      <c r="S38" s="67">
        <v>61.251977199046998</v>
      </c>
      <c r="T38" s="67">
        <v>241.697648540985</v>
      </c>
      <c r="U38" s="67">
        <v>1.2700375332560001</v>
      </c>
      <c r="V38" s="67">
        <v>93.14</v>
      </c>
      <c r="W38" s="67">
        <v>44.7</v>
      </c>
      <c r="X38" s="67">
        <f t="shared" si="4"/>
        <v>2.2350000000000002E-2</v>
      </c>
      <c r="Y38" s="67">
        <v>1</v>
      </c>
      <c r="Z38" s="67">
        <f t="shared" si="5"/>
        <v>0.99853790037302881</v>
      </c>
      <c r="AA38" s="96">
        <f t="shared" si="6"/>
        <v>1.0019394993883002</v>
      </c>
      <c r="AB38" s="96">
        <f t="shared" si="7"/>
        <v>1.2947228208722223E-3</v>
      </c>
      <c r="AC38" s="76" t="e">
        <f t="shared" si="8"/>
        <v>#NUM!</v>
      </c>
      <c r="AD38" s="95" t="e">
        <f t="shared" si="9"/>
        <v>#NUM!</v>
      </c>
      <c r="AM38" s="76">
        <f t="shared" si="10"/>
        <v>1.2966186064530412E-3</v>
      </c>
      <c r="AN38" s="76" t="e">
        <f t="shared" si="11"/>
        <v>#NUM!</v>
      </c>
      <c r="AO38" s="76" t="e">
        <f t="shared" si="12"/>
        <v>#NUM!</v>
      </c>
      <c r="AW38" s="85">
        <v>19.666689859822</v>
      </c>
      <c r="AX38" s="85">
        <v>27.222657182521999</v>
      </c>
      <c r="AY38" s="92">
        <v>0</v>
      </c>
      <c r="AZ38" s="92">
        <v>61.331243012078197</v>
      </c>
      <c r="BA38" s="94">
        <v>1.5147226425757E-5</v>
      </c>
      <c r="BB38" s="93">
        <v>0</v>
      </c>
      <c r="BC38" s="92">
        <v>0</v>
      </c>
      <c r="BD38" s="91">
        <f t="shared" si="13"/>
        <v>0</v>
      </c>
      <c r="BE38" s="90">
        <v>5798.78</v>
      </c>
      <c r="BF38" s="89">
        <f t="shared" si="14"/>
        <v>0</v>
      </c>
      <c r="BG38" s="83" t="e">
        <f t="shared" si="15"/>
        <v>#NUM!</v>
      </c>
      <c r="BH38" s="86" t="e">
        <f t="shared" si="16"/>
        <v>#NUM!</v>
      </c>
      <c r="BI38" s="86" t="e">
        <f t="shared" si="17"/>
        <v>#DIV/0!</v>
      </c>
      <c r="BJ38" s="87">
        <f t="shared" si="18"/>
        <v>0</v>
      </c>
      <c r="BK38" s="86" t="e">
        <f t="shared" si="19"/>
        <v>#NUM!</v>
      </c>
      <c r="BL38" s="88" t="e">
        <f t="shared" si="20"/>
        <v>#NUM!</v>
      </c>
      <c r="BM38" s="85" t="e">
        <f t="shared" si="21"/>
        <v>#NUM!</v>
      </c>
      <c r="BN38" s="150" t="e">
        <f t="shared" si="22"/>
        <v>#NUM!</v>
      </c>
      <c r="BO38" s="83" t="e">
        <f t="shared" si="23"/>
        <v>#NUM!</v>
      </c>
      <c r="BP38" s="86" t="e">
        <f t="shared" si="24"/>
        <v>#NUM!</v>
      </c>
      <c r="BQ38" s="86" t="e">
        <f t="shared" si="25"/>
        <v>#NUM!</v>
      </c>
      <c r="BR38" s="87" t="e">
        <f t="shared" si="26"/>
        <v>#NUM!</v>
      </c>
      <c r="BS38" s="86" t="e">
        <f t="shared" si="27"/>
        <v>#NUM!</v>
      </c>
      <c r="BT38" s="85" t="e">
        <f t="shared" si="28"/>
        <v>#NUM!</v>
      </c>
      <c r="BU38" s="84" t="e">
        <f t="shared" si="29"/>
        <v>#NUM!</v>
      </c>
      <c r="BV38" s="83" t="e">
        <f t="shared" si="30"/>
        <v>#NUM!</v>
      </c>
    </row>
    <row r="39" spans="1:74" x14ac:dyDescent="0.25">
      <c r="C39" s="82"/>
      <c r="D39" s="79"/>
      <c r="E39" s="79"/>
      <c r="F39" s="76"/>
      <c r="G39" s="76"/>
      <c r="H39" s="79"/>
      <c r="I39" s="79"/>
      <c r="J39" s="81"/>
      <c r="K39" s="80"/>
      <c r="L39" s="79"/>
      <c r="M39" s="76"/>
      <c r="N39" s="79"/>
      <c r="O39" s="71"/>
      <c r="AW39" s="71"/>
      <c r="AX39" s="71"/>
      <c r="AY39" s="73"/>
      <c r="AZ39" s="73"/>
      <c r="BA39" s="75"/>
      <c r="BB39" s="74"/>
      <c r="BC39" s="73"/>
      <c r="BD39" s="72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69"/>
      <c r="BV39" s="68"/>
    </row>
    <row r="40" spans="1:74" x14ac:dyDescent="0.25">
      <c r="O40" s="71"/>
      <c r="AW40" s="71"/>
      <c r="AX40" s="71"/>
      <c r="AY40" s="73"/>
      <c r="AZ40" s="73"/>
      <c r="BA40" s="75"/>
      <c r="BB40" s="74"/>
      <c r="BC40" s="73"/>
      <c r="BD40" s="72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69"/>
      <c r="BV40" s="68"/>
    </row>
    <row r="41" spans="1:74" hidden="1" x14ac:dyDescent="0.25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1"/>
      <c r="AW41" s="71"/>
      <c r="AX41" s="71"/>
      <c r="AY41" s="73"/>
      <c r="AZ41" s="73"/>
      <c r="BA41" s="75"/>
      <c r="BB41" s="74"/>
      <c r="BC41" s="73"/>
      <c r="BD41" s="72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69"/>
      <c r="BV41" s="68"/>
    </row>
    <row r="42" spans="1:74" hidden="1" x14ac:dyDescent="0.25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1"/>
      <c r="AW42" s="71"/>
      <c r="AX42" s="71"/>
      <c r="AY42" s="73"/>
      <c r="AZ42" s="73"/>
      <c r="BA42" s="75"/>
      <c r="BB42" s="74"/>
      <c r="BC42" s="73"/>
      <c r="BD42" s="72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69"/>
      <c r="BV42" s="68"/>
    </row>
    <row r="43" spans="1:74" hidden="1" x14ac:dyDescent="0.25">
      <c r="A43" s="78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1"/>
      <c r="AW43" s="71"/>
      <c r="AX43" s="71"/>
      <c r="AY43" s="73"/>
      <c r="AZ43" s="73"/>
      <c r="BA43" s="75"/>
      <c r="BB43" s="74"/>
      <c r="BC43" s="73"/>
      <c r="BD43" s="72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69"/>
      <c r="BV43" s="68"/>
    </row>
    <row r="44" spans="1:74" hidden="1" x14ac:dyDescent="0.25">
      <c r="A44" s="78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1"/>
      <c r="AW44" s="71"/>
      <c r="AX44" s="71"/>
      <c r="AY44" s="73"/>
      <c r="AZ44" s="73"/>
      <c r="BA44" s="75"/>
      <c r="BB44" s="74"/>
      <c r="BC44" s="73"/>
      <c r="BD44" s="72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69"/>
      <c r="BV44" s="68"/>
    </row>
    <row r="45" spans="1:74" hidden="1" x14ac:dyDescent="0.25">
      <c r="A45" s="78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1"/>
      <c r="AW45" s="71"/>
      <c r="AX45" s="71"/>
      <c r="AY45" s="73"/>
      <c r="AZ45" s="73"/>
      <c r="BA45" s="75"/>
      <c r="BB45" s="74"/>
      <c r="BC45" s="73"/>
      <c r="BD45" s="72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69"/>
      <c r="BV45" s="68"/>
    </row>
    <row r="46" spans="1:74" x14ac:dyDescent="0.25">
      <c r="O46" s="71">
        <f>AVERAGE(O19:O37,O16:O17)</f>
        <v>0.12316358549708906</v>
      </c>
      <c r="AW46" s="71"/>
      <c r="AX46" s="71"/>
      <c r="AY46" s="73"/>
      <c r="AZ46" s="73"/>
      <c r="BA46" s="75"/>
      <c r="BB46" s="74"/>
      <c r="BC46" s="73"/>
      <c r="BD46" s="72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69"/>
      <c r="BV46" s="68"/>
    </row>
    <row r="47" spans="1:74" x14ac:dyDescent="0.25">
      <c r="O47" s="71"/>
      <c r="AW47" s="71"/>
      <c r="AX47" s="71"/>
      <c r="AY47" s="73"/>
      <c r="AZ47" s="73"/>
      <c r="BA47" s="75"/>
      <c r="BB47" s="74"/>
      <c r="BC47" s="73"/>
      <c r="BD47" s="72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69"/>
      <c r="BV47" s="68"/>
    </row>
    <row r="48" spans="1:74" x14ac:dyDescent="0.25">
      <c r="O48" s="71"/>
      <c r="AW48" s="71"/>
      <c r="AX48" s="71"/>
      <c r="AY48" s="73"/>
      <c r="AZ48" s="73"/>
      <c r="BA48" s="75"/>
      <c r="BB48" s="74"/>
      <c r="BC48" s="73"/>
      <c r="BD48" s="72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69"/>
      <c r="BV48" s="68"/>
    </row>
    <row r="49" spans="15:74" x14ac:dyDescent="0.25">
      <c r="O49" s="71"/>
      <c r="AW49" s="71"/>
      <c r="AX49" s="71"/>
      <c r="AY49" s="73"/>
      <c r="AZ49" s="73"/>
      <c r="BA49" s="75"/>
      <c r="BB49" s="74"/>
      <c r="BC49" s="73"/>
      <c r="BD49" s="72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69"/>
      <c r="BV49" s="68"/>
    </row>
    <row r="50" spans="15:74" x14ac:dyDescent="0.25">
      <c r="O50" s="71"/>
      <c r="AW50" s="71"/>
      <c r="AX50" s="71"/>
      <c r="AY50" s="73"/>
      <c r="AZ50" s="73"/>
      <c r="BA50" s="75"/>
      <c r="BB50" s="74"/>
      <c r="BC50" s="73"/>
      <c r="BD50" s="72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69"/>
      <c r="BV50" s="68"/>
    </row>
    <row r="51" spans="15:74" x14ac:dyDescent="0.25">
      <c r="O51" s="71"/>
      <c r="AW51" s="71"/>
      <c r="AX51" s="71"/>
      <c r="AY51" s="73"/>
      <c r="AZ51" s="73"/>
      <c r="BA51" s="75"/>
      <c r="BB51" s="74"/>
      <c r="BC51" s="73"/>
      <c r="BD51" s="72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69"/>
      <c r="BV51" s="68"/>
    </row>
    <row r="52" spans="15:74" x14ac:dyDescent="0.25">
      <c r="O52" s="71"/>
      <c r="AW52" s="71"/>
      <c r="AX52" s="71"/>
      <c r="AY52" s="73"/>
      <c r="AZ52" s="73"/>
      <c r="BA52" s="75"/>
      <c r="BB52" s="74"/>
      <c r="BC52" s="73"/>
      <c r="BD52" s="72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69"/>
      <c r="BV52" s="68"/>
    </row>
    <row r="53" spans="15:74" x14ac:dyDescent="0.25">
      <c r="O53" s="71"/>
      <c r="AW53" s="71"/>
      <c r="AX53" s="71"/>
      <c r="AY53" s="73"/>
      <c r="AZ53" s="73"/>
      <c r="BA53" s="75"/>
      <c r="BB53" s="74"/>
      <c r="BC53" s="73"/>
      <c r="BD53" s="72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69"/>
      <c r="BV53" s="68"/>
    </row>
    <row r="54" spans="15:74" x14ac:dyDescent="0.25">
      <c r="O54" s="71"/>
      <c r="AW54" s="71"/>
      <c r="AX54" s="71"/>
      <c r="AY54" s="73"/>
      <c r="AZ54" s="73"/>
      <c r="BA54" s="75"/>
      <c r="BB54" s="74"/>
      <c r="BC54" s="73"/>
      <c r="BD54" s="72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69"/>
      <c r="BV54" s="68"/>
    </row>
    <row r="55" spans="15:74" x14ac:dyDescent="0.25">
      <c r="O55" s="76"/>
    </row>
    <row r="57" spans="15:74" x14ac:dyDescent="0.25">
      <c r="O57" s="77"/>
    </row>
    <row r="58" spans="15:74" x14ac:dyDescent="0.25">
      <c r="O58" s="77"/>
    </row>
    <row r="59" spans="15:74" x14ac:dyDescent="0.25">
      <c r="O59" s="77"/>
    </row>
    <row r="60" spans="15:74" x14ac:dyDescent="0.25">
      <c r="O60" s="77"/>
    </row>
    <row r="61" spans="15:74" x14ac:dyDescent="0.25">
      <c r="O61" s="77"/>
    </row>
  </sheetData>
  <mergeCells count="101">
    <mergeCell ref="AR26:AR28"/>
    <mergeCell ref="AS26:AS28"/>
    <mergeCell ref="AT26:AT28"/>
    <mergeCell ref="AU26:AU28"/>
    <mergeCell ref="AR35:AR37"/>
    <mergeCell ref="AS35:AS37"/>
    <mergeCell ref="AT35:AT37"/>
    <mergeCell ref="AU35:AU37"/>
    <mergeCell ref="AR29:AR31"/>
    <mergeCell ref="AS29:AS31"/>
    <mergeCell ref="AT29:AT31"/>
    <mergeCell ref="AU29:AU31"/>
    <mergeCell ref="AR32:AR34"/>
    <mergeCell ref="AS32:AS34"/>
    <mergeCell ref="AT32:AT34"/>
    <mergeCell ref="AU32:AU34"/>
    <mergeCell ref="AW10:BV10"/>
    <mergeCell ref="AP10:AQ10"/>
    <mergeCell ref="AP13:AP15"/>
    <mergeCell ref="AP16:AP19"/>
    <mergeCell ref="AR13:AR15"/>
    <mergeCell ref="AS13:AS15"/>
    <mergeCell ref="AT13:AT15"/>
    <mergeCell ref="AU13:AU15"/>
    <mergeCell ref="AR16:AR19"/>
    <mergeCell ref="AS16:AS19"/>
    <mergeCell ref="Q10:U10"/>
    <mergeCell ref="AE10:AF10"/>
    <mergeCell ref="AE13:AE15"/>
    <mergeCell ref="AF13:AF15"/>
    <mergeCell ref="AG13:AG15"/>
    <mergeCell ref="AP35:AP37"/>
    <mergeCell ref="AH13:AH15"/>
    <mergeCell ref="AI13:AI15"/>
    <mergeCell ref="AJ13:AJ15"/>
    <mergeCell ref="AE16:AE19"/>
    <mergeCell ref="AE20:AE22"/>
    <mergeCell ref="AF20:AF22"/>
    <mergeCell ref="AG20:AG22"/>
    <mergeCell ref="AH20:AH22"/>
    <mergeCell ref="AI20:AI22"/>
    <mergeCell ref="AE35:AE37"/>
    <mergeCell ref="AF35:AF37"/>
    <mergeCell ref="AG35:AG37"/>
    <mergeCell ref="AH35:AH37"/>
    <mergeCell ref="AI35:AI37"/>
    <mergeCell ref="AJ35:AJ37"/>
    <mergeCell ref="AE32:AE34"/>
    <mergeCell ref="AF32:AF34"/>
    <mergeCell ref="AG32:AG34"/>
    <mergeCell ref="AQ32:AQ34"/>
    <mergeCell ref="AQ35:AQ37"/>
    <mergeCell ref="AP20:AP22"/>
    <mergeCell ref="AP23:AP25"/>
    <mergeCell ref="AP26:AP28"/>
    <mergeCell ref="AP29:AP31"/>
    <mergeCell ref="AP32:AP34"/>
    <mergeCell ref="AQ13:AQ15"/>
    <mergeCell ref="AQ16:AQ19"/>
    <mergeCell ref="AQ20:AQ22"/>
    <mergeCell ref="AQ23:AQ25"/>
    <mergeCell ref="AQ26:AQ28"/>
    <mergeCell ref="AQ29:AQ31"/>
    <mergeCell ref="AM9:AU9"/>
    <mergeCell ref="AE23:AE25"/>
    <mergeCell ref="AF23:AF25"/>
    <mergeCell ref="AG23:AG25"/>
    <mergeCell ref="AH23:AH25"/>
    <mergeCell ref="AI23:AI25"/>
    <mergeCell ref="AJ23:AJ25"/>
    <mergeCell ref="AF16:AF19"/>
    <mergeCell ref="AG16:AG19"/>
    <mergeCell ref="AH16:AH19"/>
    <mergeCell ref="AI16:AI19"/>
    <mergeCell ref="AJ16:AJ19"/>
    <mergeCell ref="AJ20:AJ22"/>
    <mergeCell ref="AT16:AT19"/>
    <mergeCell ref="AU16:AU19"/>
    <mergeCell ref="AR20:AR22"/>
    <mergeCell ref="AS20:AS22"/>
    <mergeCell ref="AT20:AT22"/>
    <mergeCell ref="AU20:AU22"/>
    <mergeCell ref="AR23:AR25"/>
    <mergeCell ref="AS23:AS25"/>
    <mergeCell ref="AT23:AT25"/>
    <mergeCell ref="AU23:AU25"/>
    <mergeCell ref="AH32:AH34"/>
    <mergeCell ref="AI32:AI34"/>
    <mergeCell ref="AJ26:AJ28"/>
    <mergeCell ref="AE29:AE31"/>
    <mergeCell ref="AF29:AF31"/>
    <mergeCell ref="AG29:AG31"/>
    <mergeCell ref="AH29:AH31"/>
    <mergeCell ref="AI29:AI31"/>
    <mergeCell ref="AJ29:AJ31"/>
    <mergeCell ref="AE26:AE28"/>
    <mergeCell ref="AJ32:AJ34"/>
    <mergeCell ref="AI26:AI28"/>
    <mergeCell ref="AF26:AF28"/>
    <mergeCell ref="AG26:AG28"/>
    <mergeCell ref="AH26:AH28"/>
  </mergeCells>
  <conditionalFormatting sqref="AG13:AG16">
    <cfRule type="cellIs" dxfId="7" priority="2" operator="greaterThan">
      <formula>0.15</formula>
    </cfRule>
  </conditionalFormatting>
  <conditionalFormatting sqref="AG20:AG37">
    <cfRule type="cellIs" dxfId="6" priority="1" operator="greaterThan">
      <formula>0.15</formula>
    </cfRule>
  </conditionalFormatting>
  <conditionalFormatting sqref="AR13:AR16">
    <cfRule type="cellIs" dxfId="5" priority="4" operator="greaterThan">
      <formula>0.15</formula>
    </cfRule>
  </conditionalFormatting>
  <conditionalFormatting sqref="AR20:AR37">
    <cfRule type="cellIs" dxfId="4" priority="3" operator="greaterThan">
      <formula>0.15</formula>
    </cfRule>
  </conditionalFormatting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620101-b500-4b9b-b2ff-9afacfd9d2a6">
      <Terms xmlns="http://schemas.microsoft.com/office/infopath/2007/PartnerControls"/>
    </lcf76f155ced4ddcb4097134ff3c332f>
    <TaxCatchAll xmlns="ff648953-9008-4c41-b763-7456227eae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F9A29A0F06646A03FB8B2AC9D351B" ma:contentTypeVersion="15" ma:contentTypeDescription="Create a new document." ma:contentTypeScope="" ma:versionID="2d5e882f3ea48576f05d838933caa2b5">
  <xsd:schema xmlns:xsd="http://www.w3.org/2001/XMLSchema" xmlns:xs="http://www.w3.org/2001/XMLSchema" xmlns:p="http://schemas.microsoft.com/office/2006/metadata/properties" xmlns:ns2="6e620101-b500-4b9b-b2ff-9afacfd9d2a6" xmlns:ns3="ff648953-9008-4c41-b763-7456227eae4a" targetNamespace="http://schemas.microsoft.com/office/2006/metadata/properties" ma:root="true" ma:fieldsID="b4f22f41eafae4a2a6773aacfeb07832" ns2:_="" ns3:_="">
    <xsd:import namespace="6e620101-b500-4b9b-b2ff-9afacfd9d2a6"/>
    <xsd:import namespace="ff648953-9008-4c41-b763-7456227eae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20101-b500-4b9b-b2ff-9afacfd9d2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d0a502-75c6-45e6-acdf-f84b4c3971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48953-9008-4c41-b763-7456227eae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2d7e63-36ab-4487-930a-c0a15b7033b1}" ma:internalName="TaxCatchAll" ma:showField="CatchAllData" ma:web="ff648953-9008-4c41-b763-7456227eae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F77B53-06B6-4811-9E70-4330A4BE74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77EDB4-1794-46F2-98E8-2EBF448EAC45}">
  <ds:schemaRefs>
    <ds:schemaRef ds:uri="http://schemas.microsoft.com/office/2006/metadata/properties"/>
    <ds:schemaRef ds:uri="http://schemas.microsoft.com/office/infopath/2007/PartnerControls"/>
    <ds:schemaRef ds:uri="ac4ff75e-1401-479c-8cad-f7a8610faba7"/>
    <ds:schemaRef ds:uri="fc7feb4a-80c5-44d5-97b9-22de7e74bf81"/>
  </ds:schemaRefs>
</ds:datastoreItem>
</file>

<file path=customXml/itemProps3.xml><?xml version="1.0" encoding="utf-8"?>
<ds:datastoreItem xmlns:ds="http://schemas.openxmlformats.org/officeDocument/2006/customXml" ds:itemID="{4106A78D-F5A4-4BDC-A4C8-F6ADF783E483}"/>
</file>

<file path=docMetadata/LabelInfo.xml><?xml version="1.0" encoding="utf-8"?>
<clbl:labelList xmlns:clbl="http://schemas.microsoft.com/office/2020/mipLabelMetadata">
  <clbl:label id="{948094c8-480e-400b-91c4-c984b7e20814}" enabled="1" method="Standard" siteId="{a1109567-0815-4e1f-88af-e23555482aa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</vt:vector>
  </HeadingPairs>
  <TitlesOfParts>
    <vt:vector size="16" baseType="lpstr">
      <vt:lpstr>Data</vt:lpstr>
      <vt:lpstr>Data NG FORCE 21 bar</vt:lpstr>
      <vt:lpstr>Data NG FORCE 31 bar</vt:lpstr>
      <vt:lpstr>Data N2 NEL</vt:lpstr>
      <vt:lpstr>Sheet2</vt:lpstr>
      <vt:lpstr>Coriolis Manufact Error</vt:lpstr>
      <vt:lpstr>(TBL) Coriolis N2 35 bar</vt:lpstr>
      <vt:lpstr>(TBL) Coriolis N2 60 bar</vt:lpstr>
      <vt:lpstr>(TBL) Coriolis CO2 27 bar</vt:lpstr>
      <vt:lpstr>(TBL) Coriolis CO2 37 bar</vt:lpstr>
      <vt:lpstr> Error MUT</vt:lpstr>
      <vt:lpstr>En</vt:lpstr>
      <vt:lpstr> Error MUT 31 bara</vt:lpstr>
      <vt:lpstr> Error MUT 21 bara</vt:lpstr>
      <vt:lpstr> Error MUT (Vol x axis)</vt:lpstr>
      <vt:lpstr> Error MUT CO2vsN2vsNG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Chinello, Gabriele</dc:creator>
  <cp:lastModifiedBy>Chinello, Gabriele</cp:lastModifiedBy>
  <dcterms:created xsi:type="dcterms:W3CDTF">2023-11-13T13:15:22Z</dcterms:created>
  <dcterms:modified xsi:type="dcterms:W3CDTF">2025-07-08T12:52:15Z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0x0101002CEF9A29A0F06646A03FB8B2AC9D351B</vt:lpwstr>
  </property>
  <property fmtid="{D5CDD505-2E9C-101B-9397-08002B2CF9AE}" pid="3" name="MediaServiceImageTags">
    <vt:lpwstr/>
  </property>
</Properties>
</file>