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ine-gb\OneDrive - TUV SUD\NEL Operations - EMR017_EMPIR_MetCCUS\Technical\A1.2.2 Large scale testing\Intercomparison\Analysis\"/>
    </mc:Choice>
  </mc:AlternateContent>
  <xr:revisionPtr revIDLastSave="0" documentId="13_ncr:1_{5F4F13F6-168A-42E0-B7B8-DB2FE18629CC}" xr6:coauthVersionLast="47" xr6:coauthVersionMax="47" xr10:uidLastSave="{00000000-0000-0000-0000-000000000000}"/>
  <bookViews>
    <workbookView xWindow="-28920" yWindow="-120" windowWidth="29040" windowHeight="15720" firstSheet="1" activeTab="1" xr2:uid="{D99C5495-B9BE-4523-9997-C14F0ED93F86}"/>
  </bookViews>
  <sheets>
    <sheet name="Data" sheetId="13" r:id="rId1"/>
    <sheet name=" Error MUT" sheetId="14" r:id="rId2"/>
    <sheet name="En" sheetId="15" r:id="rId3"/>
    <sheet name=" Error MUT (Reynolds) All" sheetId="22" r:id="rId4"/>
    <sheet name=" Error MUT (Reynolds) 31 bara" sheetId="27" r:id="rId5"/>
    <sheet name=" Error MUT (Reynolds) 21 bara" sheetId="26" r:id="rId6"/>
    <sheet name="Data NG FORCE" sheetId="23" r:id="rId7"/>
    <sheet name="Data N2 NEL" sheetId="21" r:id="rId8"/>
    <sheet name=" Error MUT (Reynolds) CO2vsN2" sheetId="25" r:id="rId9"/>
    <sheet name=" Error MUT (Reynolds) CO2vsNG" sheetId="24" r:id="rId10"/>
    <sheet name="Sheet2" sheetId="16" r:id="rId11"/>
  </sheets>
  <definedNames>
    <definedName name="solver_adj" localSheetId="0" hidden="1">Data!#REF!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Data!#REF!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23" l="1"/>
  <c r="P60" i="23" s="1"/>
  <c r="K62" i="23"/>
  <c r="M61" i="23"/>
  <c r="K61" i="23"/>
  <c r="V60" i="23"/>
  <c r="T60" i="23"/>
  <c r="Q60" i="23"/>
  <c r="R60" i="23" s="1"/>
  <c r="M60" i="23"/>
  <c r="K60" i="23"/>
  <c r="M59" i="23"/>
  <c r="P57" i="23" s="1"/>
  <c r="S57" i="23" s="1"/>
  <c r="U57" i="23" s="1"/>
  <c r="K59" i="23"/>
  <c r="M58" i="23"/>
  <c r="K58" i="23"/>
  <c r="V57" i="23"/>
  <c r="T57" i="23"/>
  <c r="Q57" i="23"/>
  <c r="R57" i="23" s="1"/>
  <c r="M57" i="23"/>
  <c r="K57" i="23"/>
  <c r="M56" i="23"/>
  <c r="K56" i="23"/>
  <c r="M55" i="23"/>
  <c r="K55" i="23"/>
  <c r="V54" i="23"/>
  <c r="T54" i="23"/>
  <c r="R54" i="23"/>
  <c r="Q54" i="23"/>
  <c r="M54" i="23"/>
  <c r="K54" i="23"/>
  <c r="M53" i="23"/>
  <c r="K53" i="23"/>
  <c r="M52" i="23"/>
  <c r="K52" i="23"/>
  <c r="V51" i="23"/>
  <c r="T51" i="23"/>
  <c r="Q51" i="23"/>
  <c r="R51" i="23" s="1"/>
  <c r="M51" i="23"/>
  <c r="K51" i="23"/>
  <c r="M50" i="23"/>
  <c r="K50" i="23"/>
  <c r="M49" i="23"/>
  <c r="K49" i="23"/>
  <c r="V48" i="23"/>
  <c r="T48" i="23"/>
  <c r="Q48" i="23"/>
  <c r="R48" i="23" s="1"/>
  <c r="M48" i="23"/>
  <c r="O48" i="23" s="1"/>
  <c r="K48" i="23"/>
  <c r="X48" i="23" s="1"/>
  <c r="M47" i="23"/>
  <c r="P45" i="23" s="1"/>
  <c r="K47" i="23"/>
  <c r="M46" i="23"/>
  <c r="K46" i="23"/>
  <c r="V45" i="23"/>
  <c r="T45" i="23"/>
  <c r="Q45" i="23"/>
  <c r="R45" i="23" s="1"/>
  <c r="M45" i="23"/>
  <c r="K45" i="23"/>
  <c r="M44" i="23"/>
  <c r="K44" i="23"/>
  <c r="M43" i="23"/>
  <c r="K43" i="23"/>
  <c r="V42" i="23"/>
  <c r="T42" i="23"/>
  <c r="R42" i="23"/>
  <c r="Q42" i="23"/>
  <c r="M42" i="23"/>
  <c r="K42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X31" i="23" s="1"/>
  <c r="K32" i="23"/>
  <c r="K33" i="23"/>
  <c r="K13" i="23"/>
  <c r="Q31" i="23"/>
  <c r="R31" i="23" s="1"/>
  <c r="T31" i="23"/>
  <c r="V31" i="23"/>
  <c r="T16" i="23"/>
  <c r="T19" i="23"/>
  <c r="T22" i="23"/>
  <c r="T25" i="23"/>
  <c r="T28" i="23"/>
  <c r="T13" i="23"/>
  <c r="M31" i="23"/>
  <c r="O31" i="23" s="1"/>
  <c r="M32" i="23"/>
  <c r="M33" i="23"/>
  <c r="M13" i="23"/>
  <c r="AQ13" i="13"/>
  <c r="AP13" i="13"/>
  <c r="AK13" i="13"/>
  <c r="BM9" i="13"/>
  <c r="X42" i="23" l="1"/>
  <c r="X54" i="23"/>
  <c r="X45" i="23"/>
  <c r="X57" i="23"/>
  <c r="X60" i="23"/>
  <c r="O57" i="23"/>
  <c r="P54" i="23"/>
  <c r="S54" i="23" s="1"/>
  <c r="U54" i="23" s="1"/>
  <c r="X51" i="23"/>
  <c r="O60" i="23"/>
  <c r="P48" i="23"/>
  <c r="P42" i="23"/>
  <c r="S42" i="23" s="1"/>
  <c r="U42" i="23" s="1"/>
  <c r="O51" i="23"/>
  <c r="S60" i="23"/>
  <c r="U60" i="23" s="1"/>
  <c r="S45" i="23"/>
  <c r="U45" i="23" s="1"/>
  <c r="S48" i="23"/>
  <c r="U48" i="23" s="1"/>
  <c r="O42" i="23"/>
  <c r="O54" i="23"/>
  <c r="P51" i="23"/>
  <c r="S51" i="23" s="1"/>
  <c r="U51" i="23" s="1"/>
  <c r="O45" i="23"/>
  <c r="P31" i="23"/>
  <c r="S31" i="23" s="1"/>
  <c r="U31" i="23" s="1"/>
  <c r="M30" i="23"/>
  <c r="M29" i="23"/>
  <c r="X28" i="23"/>
  <c r="V28" i="23"/>
  <c r="Q28" i="23"/>
  <c r="R28" i="23" s="1"/>
  <c r="M28" i="23"/>
  <c r="M27" i="23"/>
  <c r="M26" i="23"/>
  <c r="X25" i="23"/>
  <c r="V25" i="23"/>
  <c r="Q25" i="23"/>
  <c r="R25" i="23" s="1"/>
  <c r="M25" i="23"/>
  <c r="M24" i="23"/>
  <c r="M23" i="23"/>
  <c r="X22" i="23"/>
  <c r="V22" i="23"/>
  <c r="Q22" i="23"/>
  <c r="R22" i="23" s="1"/>
  <c r="M22" i="23"/>
  <c r="P22" i="23" s="1"/>
  <c r="M21" i="23"/>
  <c r="M20" i="23"/>
  <c r="X19" i="23"/>
  <c r="V19" i="23"/>
  <c r="Q19" i="23"/>
  <c r="R19" i="23" s="1"/>
  <c r="M19" i="23"/>
  <c r="M18" i="23"/>
  <c r="M17" i="23"/>
  <c r="X16" i="23"/>
  <c r="V16" i="23"/>
  <c r="Q16" i="23"/>
  <c r="R16" i="23" s="1"/>
  <c r="M16" i="23"/>
  <c r="M15" i="23"/>
  <c r="M14" i="23"/>
  <c r="O13" i="23" s="1"/>
  <c r="X13" i="23"/>
  <c r="V13" i="23"/>
  <c r="Q13" i="23"/>
  <c r="R13" i="23" s="1"/>
  <c r="BZ28" i="13"/>
  <c r="U38" i="23" l="1"/>
  <c r="P19" i="23"/>
  <c r="P16" i="23"/>
  <c r="S16" i="23" s="1"/>
  <c r="U16" i="23" s="1"/>
  <c r="O28" i="23"/>
  <c r="P25" i="23"/>
  <c r="S25" i="23" s="1"/>
  <c r="U25" i="23" s="1"/>
  <c r="S22" i="23"/>
  <c r="U22" i="23" s="1"/>
  <c r="S19" i="23"/>
  <c r="U19" i="23" s="1"/>
  <c r="P28" i="23"/>
  <c r="S28" i="23" s="1"/>
  <c r="U28" i="23" s="1"/>
  <c r="O19" i="23"/>
  <c r="O25" i="23"/>
  <c r="O22" i="23"/>
  <c r="O16" i="23"/>
  <c r="P13" i="23"/>
  <c r="S13" i="23" s="1"/>
  <c r="U13" i="23" s="1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13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42" i="13"/>
  <c r="U9" i="23" l="1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42" i="13"/>
  <c r="C20" i="16" l="1"/>
  <c r="C19" i="16"/>
  <c r="C18" i="16"/>
  <c r="BE59" i="13"/>
  <c r="BE58" i="13"/>
  <c r="BE57" i="13"/>
  <c r="BG57" i="13" s="1"/>
  <c r="BE56" i="13"/>
  <c r="BE55" i="13"/>
  <c r="BH54" i="13" s="1"/>
  <c r="BE54" i="13"/>
  <c r="BE53" i="13"/>
  <c r="BE52" i="13"/>
  <c r="BE51" i="13"/>
  <c r="BE50" i="13"/>
  <c r="BE49" i="13"/>
  <c r="BE48" i="13"/>
  <c r="BE47" i="13"/>
  <c r="BE46" i="13"/>
  <c r="BE45" i="13"/>
  <c r="BE44" i="13"/>
  <c r="BE43" i="13"/>
  <c r="BG42" i="13" s="1"/>
  <c r="BE42" i="13"/>
  <c r="BH42" i="13" s="1"/>
  <c r="BE30" i="13"/>
  <c r="BE29" i="13"/>
  <c r="BE28" i="13"/>
  <c r="BE27" i="13"/>
  <c r="BE26" i="13"/>
  <c r="BE25" i="13"/>
  <c r="BH25" i="13" s="1"/>
  <c r="BE24" i="13"/>
  <c r="BE23" i="13"/>
  <c r="BE22" i="13"/>
  <c r="BE21" i="13"/>
  <c r="BE20" i="13"/>
  <c r="BE19" i="13"/>
  <c r="BE18" i="13"/>
  <c r="BE17" i="13"/>
  <c r="BE16" i="13"/>
  <c r="BH16" i="13" s="1"/>
  <c r="BE15" i="13"/>
  <c r="BE14" i="13"/>
  <c r="BE13" i="13"/>
  <c r="AL13" i="13"/>
  <c r="AL16" i="13"/>
  <c r="AK16" i="13"/>
  <c r="AK22" i="13"/>
  <c r="AL25" i="13"/>
  <c r="AL54" i="13"/>
  <c r="BG22" i="13"/>
  <c r="BN57" i="13"/>
  <c r="BL57" i="13"/>
  <c r="BI57" i="13"/>
  <c r="BJ57" i="13" s="1"/>
  <c r="BH57" i="13"/>
  <c r="BN54" i="13"/>
  <c r="BL54" i="13"/>
  <c r="BI54" i="13"/>
  <c r="BJ54" i="13" s="1"/>
  <c r="BN51" i="13"/>
  <c r="BL51" i="13"/>
  <c r="BI51" i="13"/>
  <c r="BJ51" i="13" s="1"/>
  <c r="BN48" i="13"/>
  <c r="BL48" i="13"/>
  <c r="BI48" i="13"/>
  <c r="BJ48" i="13" s="1"/>
  <c r="BN45" i="13"/>
  <c r="BL45" i="13"/>
  <c r="BI45" i="13"/>
  <c r="BJ45" i="13" s="1"/>
  <c r="BN42" i="13"/>
  <c r="BL42" i="13"/>
  <c r="BI42" i="13"/>
  <c r="BJ42" i="13" s="1"/>
  <c r="BP57" i="13"/>
  <c r="BP54" i="13"/>
  <c r="BP51" i="13"/>
  <c r="BP48" i="13"/>
  <c r="BP45" i="13"/>
  <c r="BP42" i="13"/>
  <c r="BP28" i="13"/>
  <c r="BP25" i="13"/>
  <c r="BP22" i="13"/>
  <c r="BP19" i="13"/>
  <c r="BP16" i="13"/>
  <c r="BP13" i="13"/>
  <c r="AT57" i="13"/>
  <c r="BZ57" i="13" s="1"/>
  <c r="AT54" i="13"/>
  <c r="BZ54" i="13" s="1"/>
  <c r="AT51" i="13"/>
  <c r="BZ51" i="13" s="1"/>
  <c r="AT48" i="13"/>
  <c r="BZ48" i="13" s="1"/>
  <c r="AT45" i="13"/>
  <c r="BZ45" i="13" s="1"/>
  <c r="AT42" i="13"/>
  <c r="BZ42" i="13" s="1"/>
  <c r="AT25" i="13"/>
  <c r="BZ25" i="13" s="1"/>
  <c r="AT22" i="13"/>
  <c r="BZ22" i="13" s="1"/>
  <c r="AT19" i="13"/>
  <c r="BZ19" i="13" s="1"/>
  <c r="AT16" i="13"/>
  <c r="BZ16" i="13" s="1"/>
  <c r="AT13" i="13"/>
  <c r="BZ13" i="13" s="1"/>
  <c r="W57" i="13"/>
  <c r="W54" i="13"/>
  <c r="W51" i="13"/>
  <c r="W48" i="13"/>
  <c r="W45" i="13"/>
  <c r="W42" i="13"/>
  <c r="W28" i="13"/>
  <c r="W25" i="13"/>
  <c r="W22" i="13"/>
  <c r="W19" i="13"/>
  <c r="W16" i="13"/>
  <c r="W13" i="13"/>
  <c r="W16" i="21"/>
  <c r="W19" i="21"/>
  <c r="W22" i="21"/>
  <c r="W25" i="21"/>
  <c r="W28" i="21"/>
  <c r="W13" i="21"/>
  <c r="C14" i="16"/>
  <c r="C15" i="16" s="1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U57" i="13"/>
  <c r="S57" i="13"/>
  <c r="P57" i="13"/>
  <c r="Q57" i="13" s="1"/>
  <c r="U54" i="13"/>
  <c r="S54" i="13"/>
  <c r="P54" i="13"/>
  <c r="Q54" i="13" s="1"/>
  <c r="U51" i="13"/>
  <c r="S51" i="13"/>
  <c r="P51" i="13"/>
  <c r="Q51" i="13" s="1"/>
  <c r="U48" i="13"/>
  <c r="S48" i="13"/>
  <c r="P48" i="13"/>
  <c r="Q48" i="13" s="1"/>
  <c r="U45" i="13"/>
  <c r="S45" i="13"/>
  <c r="P45" i="13"/>
  <c r="Q45" i="13" s="1"/>
  <c r="U42" i="13"/>
  <c r="S42" i="13"/>
  <c r="P42" i="13"/>
  <c r="Q42" i="13" s="1"/>
  <c r="U28" i="13"/>
  <c r="S28" i="13"/>
  <c r="P28" i="13"/>
  <c r="Q28" i="13" s="1"/>
  <c r="U25" i="13"/>
  <c r="S25" i="13"/>
  <c r="P25" i="13"/>
  <c r="Q25" i="13" s="1"/>
  <c r="U22" i="13"/>
  <c r="S22" i="13"/>
  <c r="P22" i="13"/>
  <c r="Q22" i="13" s="1"/>
  <c r="U19" i="13"/>
  <c r="S19" i="13"/>
  <c r="P19" i="13"/>
  <c r="Q19" i="13" s="1"/>
  <c r="U16" i="13"/>
  <c r="S16" i="13"/>
  <c r="P16" i="13"/>
  <c r="Q16" i="13" s="1"/>
  <c r="U13" i="13"/>
  <c r="S13" i="13"/>
  <c r="P13" i="13"/>
  <c r="Q13" i="13" s="1"/>
  <c r="AR57" i="13"/>
  <c r="AP57" i="13"/>
  <c r="AM57" i="13"/>
  <c r="AN57" i="13" s="1"/>
  <c r="AL57" i="13"/>
  <c r="AK57" i="13"/>
  <c r="AR54" i="13"/>
  <c r="AP54" i="13"/>
  <c r="AM54" i="13"/>
  <c r="AN54" i="13" s="1"/>
  <c r="AR51" i="13"/>
  <c r="AP51" i="13"/>
  <c r="AM51" i="13"/>
  <c r="AN51" i="13" s="1"/>
  <c r="AL51" i="13"/>
  <c r="AK51" i="13"/>
  <c r="AR48" i="13"/>
  <c r="AP48" i="13"/>
  <c r="AM48" i="13"/>
  <c r="AN48" i="13" s="1"/>
  <c r="AL48" i="13"/>
  <c r="AK48" i="13"/>
  <c r="AR45" i="13"/>
  <c r="AP45" i="13"/>
  <c r="AM45" i="13"/>
  <c r="AN45" i="13" s="1"/>
  <c r="AL45" i="13"/>
  <c r="AK45" i="13"/>
  <c r="AR42" i="13"/>
  <c r="AP42" i="13"/>
  <c r="AM42" i="13"/>
  <c r="AN42" i="13" s="1"/>
  <c r="AL42" i="13"/>
  <c r="AK42" i="13"/>
  <c r="AR25" i="13"/>
  <c r="AP25" i="13"/>
  <c r="AM25" i="13"/>
  <c r="AN25" i="13" s="1"/>
  <c r="AR22" i="13"/>
  <c r="AP22" i="13"/>
  <c r="AM22" i="13"/>
  <c r="AN22" i="13" s="1"/>
  <c r="AL22" i="13"/>
  <c r="AR19" i="13"/>
  <c r="AP19" i="13"/>
  <c r="AM19" i="13"/>
  <c r="AN19" i="13" s="1"/>
  <c r="AL19" i="13"/>
  <c r="AK19" i="13"/>
  <c r="AR16" i="13"/>
  <c r="AP16" i="13"/>
  <c r="AM16" i="13"/>
  <c r="AN16" i="13" s="1"/>
  <c r="AR13" i="13"/>
  <c r="AM13" i="13"/>
  <c r="AN13" i="13" s="1"/>
  <c r="BN28" i="13"/>
  <c r="BL28" i="13"/>
  <c r="BI28" i="13"/>
  <c r="BJ28" i="13" s="1"/>
  <c r="BN25" i="13"/>
  <c r="BL25" i="13"/>
  <c r="BI25" i="13"/>
  <c r="BJ25" i="13" s="1"/>
  <c r="BN22" i="13"/>
  <c r="BL22" i="13"/>
  <c r="BI22" i="13"/>
  <c r="BJ22" i="13" s="1"/>
  <c r="BH22" i="13"/>
  <c r="BN19" i="13"/>
  <c r="BL19" i="13"/>
  <c r="BI19" i="13"/>
  <c r="BJ19" i="13" s="1"/>
  <c r="BN16" i="13"/>
  <c r="BL16" i="13"/>
  <c r="BI16" i="13"/>
  <c r="BJ16" i="13" s="1"/>
  <c r="BN13" i="13"/>
  <c r="BL13" i="13"/>
  <c r="BI13" i="13"/>
  <c r="BJ13" i="13" s="1"/>
  <c r="BH13" i="13"/>
  <c r="BG13" i="13"/>
  <c r="BG28" i="13" l="1"/>
  <c r="BH28" i="13"/>
  <c r="BH45" i="13"/>
  <c r="BK45" i="13" s="1"/>
  <c r="BM45" i="13" s="1"/>
  <c r="CA42" i="13"/>
  <c r="BH48" i="13"/>
  <c r="BK48" i="13" s="1"/>
  <c r="BM48" i="13" s="1"/>
  <c r="BH51" i="13"/>
  <c r="BH19" i="13"/>
  <c r="BG16" i="13"/>
  <c r="BG48" i="13"/>
  <c r="BG45" i="13"/>
  <c r="BG19" i="13"/>
  <c r="AK25" i="13"/>
  <c r="AK54" i="13"/>
  <c r="O13" i="13"/>
  <c r="R13" i="13" s="1"/>
  <c r="T13" i="13" s="1"/>
  <c r="BT13" i="13" s="1"/>
  <c r="CC13" i="13" s="1"/>
  <c r="BG51" i="13"/>
  <c r="BG54" i="13"/>
  <c r="BG25" i="13"/>
  <c r="BK54" i="13"/>
  <c r="BM54" i="13" s="1"/>
  <c r="O25" i="13"/>
  <c r="R25" i="13" s="1"/>
  <c r="T25" i="13" s="1"/>
  <c r="BK51" i="13"/>
  <c r="BM51" i="13" s="1"/>
  <c r="BK57" i="13"/>
  <c r="BM57" i="13" s="1"/>
  <c r="O28" i="13"/>
  <c r="R28" i="13" s="1"/>
  <c r="T28" i="13" s="1"/>
  <c r="BK42" i="13"/>
  <c r="BM42" i="13" s="1"/>
  <c r="BX42" i="13" s="1"/>
  <c r="O16" i="13"/>
  <c r="R16" i="13" s="1"/>
  <c r="T16" i="13" s="1"/>
  <c r="AO13" i="13"/>
  <c r="AQ9" i="13" s="1"/>
  <c r="N42" i="13"/>
  <c r="AO45" i="13"/>
  <c r="AQ45" i="13" s="1"/>
  <c r="N16" i="13"/>
  <c r="O45" i="13"/>
  <c r="R45" i="13" s="1"/>
  <c r="T45" i="13" s="1"/>
  <c r="O51" i="13"/>
  <c r="R51" i="13" s="1"/>
  <c r="T51" i="13" s="1"/>
  <c r="N13" i="13"/>
  <c r="N28" i="13"/>
  <c r="O54" i="13"/>
  <c r="R54" i="13" s="1"/>
  <c r="T54" i="13" s="1"/>
  <c r="AO16" i="13"/>
  <c r="AQ16" i="13" s="1"/>
  <c r="AO57" i="13"/>
  <c r="AQ57" i="13" s="1"/>
  <c r="N25" i="13"/>
  <c r="AO22" i="13"/>
  <c r="AQ22" i="13" s="1"/>
  <c r="N48" i="13"/>
  <c r="O57" i="13"/>
  <c r="R57" i="13" s="1"/>
  <c r="T57" i="13" s="1"/>
  <c r="O42" i="13"/>
  <c r="R42" i="13" s="1"/>
  <c r="T42" i="13" s="1"/>
  <c r="N54" i="13"/>
  <c r="N45" i="13"/>
  <c r="N57" i="13"/>
  <c r="O19" i="13"/>
  <c r="R19" i="13" s="1"/>
  <c r="T19" i="13" s="1"/>
  <c r="N22" i="13"/>
  <c r="O48" i="13"/>
  <c r="R48" i="13" s="1"/>
  <c r="T48" i="13" s="1"/>
  <c r="O22" i="13"/>
  <c r="R22" i="13" s="1"/>
  <c r="T22" i="13" s="1"/>
  <c r="N19" i="13"/>
  <c r="N51" i="13"/>
  <c r="AO19" i="13"/>
  <c r="AQ19" i="13" s="1"/>
  <c r="AO51" i="13"/>
  <c r="AQ51" i="13" s="1"/>
  <c r="AO48" i="13"/>
  <c r="AQ48" i="13" s="1"/>
  <c r="AO42" i="13"/>
  <c r="AQ42" i="13" s="1"/>
  <c r="BV42" i="13" s="1"/>
  <c r="BU42" i="13" s="1"/>
  <c r="AO54" i="13"/>
  <c r="AQ54" i="13" s="1"/>
  <c r="AO25" i="13"/>
  <c r="AQ25" i="13" s="1"/>
  <c r="BK13" i="13"/>
  <c r="BM13" i="13" s="1"/>
  <c r="BX13" i="13" s="1"/>
  <c r="BK28" i="13"/>
  <c r="BM28" i="13" s="1"/>
  <c r="BK25" i="13"/>
  <c r="BM25" i="13" s="1"/>
  <c r="BK19" i="13"/>
  <c r="BM19" i="13" s="1"/>
  <c r="BK16" i="13"/>
  <c r="BM16" i="13" s="1"/>
  <c r="BK22" i="13"/>
  <c r="BM22" i="13" s="1"/>
  <c r="BS13" i="13" l="1"/>
  <c r="BV25" i="13"/>
  <c r="BU25" i="13" s="1"/>
  <c r="BV54" i="13"/>
  <c r="BV48" i="13"/>
  <c r="BU48" i="13" s="1"/>
  <c r="BV19" i="13"/>
  <c r="BU19" i="13" s="1"/>
  <c r="BV45" i="13"/>
  <c r="BU45" i="13" s="1"/>
  <c r="BV22" i="13"/>
  <c r="BU22" i="13" s="1"/>
  <c r="BV51" i="13"/>
  <c r="BU51" i="13" s="1"/>
  <c r="BV13" i="13"/>
  <c r="BU13" i="13" s="1"/>
  <c r="BV57" i="13"/>
  <c r="BU57" i="13" s="1"/>
  <c r="BU54" i="13"/>
  <c r="BV16" i="13"/>
  <c r="BU16" i="13" s="1"/>
  <c r="P28" i="21"/>
  <c r="Q28" i="21" s="1"/>
  <c r="S28" i="21"/>
  <c r="U28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N28" i="21" s="1"/>
  <c r="L29" i="21"/>
  <c r="L30" i="21"/>
  <c r="L13" i="21"/>
  <c r="O28" i="21" l="1"/>
  <c r="R28" i="21" s="1"/>
  <c r="T28" i="21" s="1"/>
  <c r="S13" i="21"/>
  <c r="P13" i="21"/>
  <c r="Q13" i="21" s="1"/>
  <c r="U25" i="21"/>
  <c r="S25" i="21"/>
  <c r="P25" i="21"/>
  <c r="Q25" i="21" s="1"/>
  <c r="U22" i="21"/>
  <c r="S22" i="21"/>
  <c r="P22" i="21"/>
  <c r="Q22" i="21" s="1"/>
  <c r="U19" i="21"/>
  <c r="S19" i="21"/>
  <c r="P19" i="21"/>
  <c r="Q19" i="21" s="1"/>
  <c r="U16" i="21"/>
  <c r="S16" i="21"/>
  <c r="P16" i="21"/>
  <c r="Q16" i="21" s="1"/>
  <c r="U13" i="21"/>
  <c r="N13" i="21" l="1"/>
  <c r="O13" i="21"/>
  <c r="N22" i="21"/>
  <c r="N19" i="21"/>
  <c r="O22" i="21"/>
  <c r="O25" i="21"/>
  <c r="O19" i="21"/>
  <c r="O16" i="21"/>
  <c r="N16" i="21"/>
  <c r="N25" i="21"/>
  <c r="R16" i="21" l="1"/>
  <c r="T16" i="21" s="1"/>
  <c r="R25" i="21"/>
  <c r="T25" i="21" s="1"/>
  <c r="R13" i="21"/>
  <c r="T13" i="21" s="1"/>
  <c r="R19" i="21"/>
  <c r="T19" i="21" s="1"/>
  <c r="R22" i="21"/>
  <c r="T22" i="21" s="1"/>
  <c r="T9" i="21" l="1"/>
  <c r="E20" i="16"/>
  <c r="E19" i="16"/>
  <c r="E18" i="16"/>
  <c r="BX25" i="13" l="1"/>
  <c r="BX45" i="13"/>
  <c r="BX22" i="13"/>
  <c r="BX19" i="13"/>
  <c r="BX28" i="13"/>
  <c r="BX16" i="13"/>
  <c r="BX57" i="13"/>
  <c r="BX54" i="13"/>
  <c r="BX48" i="13"/>
  <c r="BW48" i="13" s="1"/>
  <c r="BX51" i="13"/>
  <c r="BW42" i="13" l="1"/>
  <c r="BW54" i="13"/>
  <c r="BW16" i="13"/>
  <c r="BW28" i="13"/>
  <c r="BW22" i="13"/>
  <c r="BW25" i="13"/>
  <c r="BW45" i="13"/>
  <c r="BW57" i="13"/>
  <c r="BW13" i="13"/>
  <c r="BW19" i="13"/>
  <c r="BW51" i="13"/>
  <c r="CA57" i="13" l="1"/>
  <c r="CA54" i="13"/>
  <c r="CA48" i="13"/>
  <c r="CA45" i="13"/>
  <c r="CA51" i="13" l="1"/>
  <c r="BT45" i="13"/>
  <c r="BT54" i="13"/>
  <c r="BS54" i="13" s="1"/>
  <c r="CA16" i="13"/>
  <c r="CA25" i="13"/>
  <c r="BT48" i="13"/>
  <c r="BT57" i="13"/>
  <c r="CA28" i="13"/>
  <c r="CA19" i="13"/>
  <c r="CA13" i="13"/>
  <c r="CA22" i="13"/>
  <c r="BT22" i="13"/>
  <c r="BT19" i="13"/>
  <c r="BT25" i="13"/>
  <c r="BT28" i="13"/>
  <c r="BS22" i="13" l="1"/>
  <c r="CC22" i="13"/>
  <c r="BS28" i="13"/>
  <c r="CB28" i="13" s="1"/>
  <c r="CI28" i="13" s="1"/>
  <c r="CC28" i="13"/>
  <c r="BS25" i="13"/>
  <c r="CB25" i="13" s="1"/>
  <c r="CC25" i="13"/>
  <c r="CD25" i="13" s="1"/>
  <c r="BS19" i="13"/>
  <c r="CB19" i="13" s="1"/>
  <c r="CI19" i="13" s="1"/>
  <c r="CC19" i="13"/>
  <c r="CD19" i="13" s="1"/>
  <c r="CJ19" i="13" s="1"/>
  <c r="CC45" i="13"/>
  <c r="CD45" i="13" s="1"/>
  <c r="CJ45" i="13" s="1"/>
  <c r="E14" i="16"/>
  <c r="BT16" i="13"/>
  <c r="T9" i="13"/>
  <c r="BT51" i="13"/>
  <c r="BT42" i="13"/>
  <c r="BS45" i="13"/>
  <c r="CB45" i="13" s="1"/>
  <c r="CI45" i="13" s="1"/>
  <c r="CB54" i="13"/>
  <c r="CI54" i="13" s="1"/>
  <c r="CC54" i="13"/>
  <c r="CD54" i="13" s="1"/>
  <c r="CJ54" i="13" s="1"/>
  <c r="CD22" i="13"/>
  <c r="CJ22" i="13" s="1"/>
  <c r="CD28" i="13"/>
  <c r="BS57" i="13"/>
  <c r="CB57" i="13" s="1"/>
  <c r="CI57" i="13" s="1"/>
  <c r="CC57" i="13"/>
  <c r="CD57" i="13" s="1"/>
  <c r="CJ57" i="13" s="1"/>
  <c r="BS48" i="13"/>
  <c r="CB48" i="13" s="1"/>
  <c r="CC48" i="13"/>
  <c r="CD48" i="13" s="1"/>
  <c r="CB13" i="13"/>
  <c r="CI13" i="13" s="1"/>
  <c r="CD13" i="13"/>
  <c r="CJ13" i="13" s="1"/>
  <c r="CB22" i="13"/>
  <c r="CI22" i="13" s="1"/>
  <c r="CI25" i="13" l="1"/>
  <c r="CF25" i="13"/>
  <c r="BS16" i="13"/>
  <c r="CC16" i="13"/>
  <c r="CD16" i="13" s="1"/>
  <c r="CJ16" i="13" s="1"/>
  <c r="CJ25" i="13"/>
  <c r="CG25" i="13"/>
  <c r="CK45" i="13"/>
  <c r="CK13" i="13"/>
  <c r="CK57" i="13"/>
  <c r="CK19" i="13"/>
  <c r="CC42" i="13"/>
  <c r="CD42" i="13" s="1"/>
  <c r="BS42" i="13"/>
  <c r="CM48" i="13"/>
  <c r="CJ48" i="13"/>
  <c r="CK54" i="13"/>
  <c r="CK22" i="13"/>
  <c r="CL48" i="13"/>
  <c r="CI48" i="13"/>
  <c r="CB16" i="13"/>
  <c r="CL13" i="13"/>
  <c r="CM13" i="13"/>
  <c r="CL25" i="13"/>
  <c r="CL28" i="13"/>
  <c r="CM28" i="13"/>
  <c r="CM22" i="13"/>
  <c r="CL22" i="13"/>
  <c r="CM25" i="13"/>
  <c r="CL19" i="13"/>
  <c r="CG19" i="13"/>
  <c r="CM19" i="13"/>
  <c r="CF45" i="13"/>
  <c r="CL45" i="13"/>
  <c r="CM45" i="13"/>
  <c r="CL57" i="13"/>
  <c r="CL54" i="13"/>
  <c r="CG57" i="13"/>
  <c r="CM57" i="13"/>
  <c r="CM54" i="13"/>
  <c r="CG45" i="13"/>
  <c r="CF19" i="13"/>
  <c r="CF54" i="13"/>
  <c r="CC51" i="13"/>
  <c r="CD51" i="13" s="1"/>
  <c r="CJ51" i="13" s="1"/>
  <c r="BS51" i="13"/>
  <c r="CB51" i="13" s="1"/>
  <c r="CI51" i="13" s="1"/>
  <c r="CG54" i="13"/>
  <c r="CG28" i="13"/>
  <c r="CG22" i="13"/>
  <c r="CG13" i="13"/>
  <c r="CF28" i="13"/>
  <c r="CF57" i="13"/>
  <c r="CF22" i="13"/>
  <c r="CF13" i="13"/>
  <c r="CF48" i="13"/>
  <c r="CG48" i="13"/>
  <c r="E15" i="16"/>
  <c r="CB42" i="13" l="1"/>
  <c r="CF42" i="13" s="1"/>
  <c r="CK25" i="13"/>
  <c r="CN48" i="13"/>
  <c r="CK48" i="13"/>
  <c r="CK51" i="13"/>
  <c r="CL16" i="13"/>
  <c r="CI16" i="13"/>
  <c r="CK16" i="13" s="1"/>
  <c r="CG42" i="13"/>
  <c r="CJ42" i="13"/>
  <c r="CM42" i="13"/>
  <c r="CI42" i="13"/>
  <c r="CF16" i="13"/>
  <c r="CN19" i="13"/>
  <c r="CH19" i="13"/>
  <c r="CN22" i="13"/>
  <c r="CH45" i="13"/>
  <c r="CH13" i="13"/>
  <c r="CN13" i="13"/>
  <c r="CN28" i="13"/>
  <c r="CH22" i="13"/>
  <c r="CN25" i="13"/>
  <c r="CH28" i="13"/>
  <c r="CH25" i="13"/>
  <c r="CG16" i="13"/>
  <c r="CM16" i="13"/>
  <c r="CN45" i="13"/>
  <c r="CM51" i="13"/>
  <c r="CH57" i="13"/>
  <c r="CH54" i="13"/>
  <c r="CN54" i="13"/>
  <c r="CL51" i="13"/>
  <c r="CN57" i="13"/>
  <c r="CF51" i="13"/>
  <c r="CG51" i="13"/>
  <c r="CH48" i="13"/>
  <c r="E13" i="16"/>
  <c r="CL42" i="13" l="1"/>
  <c r="CN16" i="13"/>
  <c r="CQ3" i="13"/>
  <c r="CQ4" i="13"/>
  <c r="CK42" i="13"/>
  <c r="CN42" i="13"/>
  <c r="CH16" i="13"/>
  <c r="CQ2" i="13" s="1"/>
  <c r="CH42" i="13"/>
  <c r="CN51" i="13"/>
  <c r="CH51" i="13"/>
  <c r="CQ6" i="13" l="1"/>
  <c r="CQ5" i="13"/>
  <c r="CR4" i="13"/>
  <c r="CR6" i="13" l="1"/>
  <c r="CR3" i="13"/>
  <c r="CR5" i="13"/>
</calcChain>
</file>

<file path=xl/sharedStrings.xml><?xml version="1.0" encoding="utf-8"?>
<sst xmlns="http://schemas.openxmlformats.org/spreadsheetml/2006/main" count="609" uniqueCount="62">
  <si>
    <t>(-)</t>
  </si>
  <si>
    <t>(%)</t>
  </si>
  <si>
    <t>NEL</t>
  </si>
  <si>
    <t>FORCE</t>
  </si>
  <si>
    <t>DNV</t>
  </si>
  <si>
    <t>Total test points</t>
  </si>
  <si>
    <t>Above 1</t>
  </si>
  <si>
    <t>Above 1.2</t>
  </si>
  <si>
    <t xml:space="preserve">Between 1 and 1.2 </t>
  </si>
  <si>
    <t xml:space="preserve">Below equal 1 </t>
  </si>
  <si>
    <t>Test Number</t>
  </si>
  <si>
    <t>T03973</t>
  </si>
  <si>
    <t>Calculated by NEL with REFPROP v10 for pure CO2</t>
  </si>
  <si>
    <t>Turbine meter</t>
  </si>
  <si>
    <t>Fluid</t>
  </si>
  <si>
    <t>TestPoint Timestamp</t>
  </si>
  <si>
    <t>Test Point</t>
  </si>
  <si>
    <t>Q_Reference</t>
  </si>
  <si>
    <t>p_abs_MUT</t>
  </si>
  <si>
    <t>T_MUT</t>
  </si>
  <si>
    <t>rho_MUT</t>
  </si>
  <si>
    <t>RE_MUT</t>
  </si>
  <si>
    <t>Q_MUT</t>
  </si>
  <si>
    <t>dev</t>
  </si>
  <si>
    <t>U_CMC(volume)</t>
  </si>
  <si>
    <t>dev average</t>
  </si>
  <si>
    <t>std. dev</t>
  </si>
  <si>
    <t>test points</t>
  </si>
  <si>
    <t>t-distribution</t>
  </si>
  <si>
    <t>uncertainty mean</t>
  </si>
  <si>
    <t>U_CMC(mass) average</t>
  </si>
  <si>
    <t>Total uncertainty</t>
  </si>
  <si>
    <t>Q Ref average</t>
  </si>
  <si>
    <t>RE MUT average</t>
  </si>
  <si>
    <t>viscosity</t>
  </si>
  <si>
    <r>
      <t>xi/u</t>
    </r>
    <r>
      <rPr>
        <b/>
        <vertAlign val="superscript"/>
        <sz val="18"/>
        <color rgb="FF000000"/>
        <rFont val="Calibri"/>
        <family val="2"/>
      </rPr>
      <t>2</t>
    </r>
    <r>
      <rPr>
        <b/>
        <sz val="18"/>
        <color rgb="FF000000"/>
        <rFont val="Calibri"/>
        <family val="2"/>
      </rPr>
      <t>(x</t>
    </r>
    <r>
      <rPr>
        <b/>
        <vertAlign val="subscript"/>
        <sz val="18"/>
        <color rgb="FF000000"/>
        <rFont val="Calibri"/>
        <family val="2"/>
      </rPr>
      <t>i</t>
    </r>
    <r>
      <rPr>
        <b/>
        <sz val="18"/>
        <color rgb="FF000000"/>
        <rFont val="Calibri"/>
        <family val="2"/>
      </rPr>
      <t>)</t>
    </r>
  </si>
  <si>
    <r>
      <t>1/u</t>
    </r>
    <r>
      <rPr>
        <b/>
        <vertAlign val="superscript"/>
        <sz val="18"/>
        <color rgb="FF000000"/>
        <rFont val="Calibri"/>
        <family val="2"/>
      </rPr>
      <t>2</t>
    </r>
    <r>
      <rPr>
        <b/>
        <sz val="18"/>
        <color rgb="FF000000"/>
        <rFont val="Calibri"/>
        <family val="2"/>
      </rPr>
      <t>(x</t>
    </r>
    <r>
      <rPr>
        <b/>
        <vertAlign val="subscript"/>
        <sz val="18"/>
        <color rgb="FF000000"/>
        <rFont val="Calibri"/>
        <family val="2"/>
      </rPr>
      <t>i</t>
    </r>
    <r>
      <rPr>
        <b/>
        <sz val="18"/>
        <color rgb="FF000000"/>
        <rFont val="Calibri"/>
        <family val="2"/>
      </rPr>
      <t>)</t>
    </r>
  </si>
  <si>
    <t>Reynolds average</t>
  </si>
  <si>
    <t>Q ref average</t>
  </si>
  <si>
    <t>KCRV y</t>
  </si>
  <si>
    <r>
      <t>1/u</t>
    </r>
    <r>
      <rPr>
        <b/>
        <vertAlign val="superscript"/>
        <sz val="18"/>
        <color rgb="FF000000"/>
        <rFont val="Calibri"/>
        <family val="2"/>
      </rPr>
      <t>2</t>
    </r>
    <r>
      <rPr>
        <b/>
        <sz val="18"/>
        <color rgb="FF000000"/>
        <rFont val="Calibri"/>
        <family val="2"/>
      </rPr>
      <t>(y)</t>
    </r>
  </si>
  <si>
    <t>u(y)</t>
  </si>
  <si>
    <r>
      <t>d</t>
    </r>
    <r>
      <rPr>
        <b/>
        <vertAlign val="subscript"/>
        <sz val="18"/>
        <color rgb="FF000000"/>
        <rFont val="Calibri"/>
        <family val="2"/>
      </rPr>
      <t>i</t>
    </r>
  </si>
  <si>
    <r>
      <t>u(d</t>
    </r>
    <r>
      <rPr>
        <b/>
        <vertAlign val="subscript"/>
        <sz val="18"/>
        <color rgb="FF000000"/>
        <rFont val="Calibri"/>
        <family val="2"/>
      </rPr>
      <t>i</t>
    </r>
    <r>
      <rPr>
        <b/>
        <sz val="18"/>
        <color rgb="FF000000"/>
        <rFont val="Calibri"/>
        <family val="2"/>
      </rPr>
      <t>)</t>
    </r>
  </si>
  <si>
    <t>En (%)</t>
  </si>
  <si>
    <t>-</t>
  </si>
  <si>
    <t>m3/h</t>
  </si>
  <si>
    <t>bar a</t>
  </si>
  <si>
    <t>°C</t>
  </si>
  <si>
    <t>kg/m³</t>
  </si>
  <si>
    <t>%</t>
  </si>
  <si>
    <t>Pa s</t>
  </si>
  <si>
    <t>CO2</t>
  </si>
  <si>
    <t>T03981</t>
  </si>
  <si>
    <t>Calculated by NEL with REFPROP v10 for 0.98 mol CH4, 0.013 mol N2, 0.007 mol CO2</t>
  </si>
  <si>
    <t>Turbine Meter</t>
  </si>
  <si>
    <t>NG</t>
  </si>
  <si>
    <t>T03966</t>
  </si>
  <si>
    <t>N2</t>
  </si>
  <si>
    <t>Graph Volume</t>
  </si>
  <si>
    <t>Force</t>
  </si>
  <si>
    <t>Graph Reynolds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</si>
</sst>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00000"/>
    <numFmt numFmtId="166" formatCode="0.0000000"/>
    <numFmt numFmtId="167" formatCode="dd/mm/yyyy\ hh:mm:ss"/>
    <numFmt numFmtId="168" formatCode="0.0"/>
    <numFmt numFmtId="169" formatCode="0.000000E+00"/>
    <numFmt numFmtId="170" formatCode="0.000E+00"/>
    <numFmt numFmtId="171" formatCode="0.0E+00"/>
    <numFmt numFmtId="172" formatCode="d/m/yyyy\ hh:mm:ss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FF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8"/>
      <color rgb="FF000000"/>
      <name val="Calibri"/>
      <family val="2"/>
    </font>
    <font>
      <b/>
      <vertAlign val="subscript"/>
      <sz val="18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598BDB"/>
      </patternFill>
    </fill>
    <fill>
      <patternFill patternType="solid">
        <fgColor rgb="FFB6D3EF"/>
      </patternFill>
    </fill>
    <fill>
      <patternFill patternType="solid">
        <fgColor rgb="FFFFFFFF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Border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1" applyFont="1"/>
    <xf numFmtId="0" fontId="2" fillId="0" borderId="0" xfId="1"/>
    <xf numFmtId="0" fontId="1" fillId="0" borderId="0" xfId="2"/>
    <xf numFmtId="0" fontId="4" fillId="2" borderId="2" xfId="1" applyFont="1" applyFill="1" applyBorder="1" applyAlignment="1">
      <alignment horizontal="center" vertical="top" wrapText="1"/>
    </xf>
    <xf numFmtId="0" fontId="2" fillId="3" borderId="2" xfId="1" applyFill="1" applyBorder="1" applyAlignment="1">
      <alignment horizontal="center"/>
    </xf>
    <xf numFmtId="0" fontId="1" fillId="0" borderId="2" xfId="2" applyBorder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5" fontId="0" fillId="0" borderId="2" xfId="0" applyNumberFormat="1" applyBorder="1"/>
    <xf numFmtId="0" fontId="4" fillId="0" borderId="0" xfId="1" applyFont="1" applyBorder="1" applyAlignment="1">
      <alignment horizontal="center" vertical="top" wrapText="1"/>
    </xf>
    <xf numFmtId="164" fontId="0" fillId="0" borderId="0" xfId="0" applyNumberFormat="1"/>
    <xf numFmtId="167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16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6" fontId="0" fillId="0" borderId="0" xfId="0" applyNumberFormat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166" fontId="0" fillId="0" borderId="0" xfId="0" applyNumberFormat="1" applyAlignment="1">
      <alignment horizontal="center"/>
    </xf>
    <xf numFmtId="11" fontId="0" fillId="0" borderId="0" xfId="0" applyNumberFormat="1"/>
    <xf numFmtId="0" fontId="0" fillId="9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11" fontId="1" fillId="0" borderId="0" xfId="2" applyNumberFormat="1"/>
    <xf numFmtId="165" fontId="0" fillId="0" borderId="0" xfId="0" applyNumberFormat="1" applyAlignment="1">
      <alignment horizontal="center" vertical="top" wrapText="1"/>
    </xf>
    <xf numFmtId="166" fontId="0" fillId="0" borderId="0" xfId="0" applyNumberForma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0" fillId="9" borderId="3" xfId="0" applyNumberForma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11" borderId="0" xfId="1" applyFont="1" applyFill="1" applyBorder="1" applyAlignment="1">
      <alignment horizontal="center" vertical="top" wrapText="1"/>
    </xf>
    <xf numFmtId="0" fontId="2" fillId="9" borderId="0" xfId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3" fillId="0" borderId="2" xfId="0" applyFont="1" applyBorder="1"/>
    <xf numFmtId="2" fontId="13" fillId="0" borderId="2" xfId="0" applyNumberFormat="1" applyFont="1" applyBorder="1"/>
    <xf numFmtId="168" fontId="13" fillId="0" borderId="2" xfId="0" applyNumberFormat="1" applyFont="1" applyBorder="1"/>
    <xf numFmtId="168" fontId="13" fillId="10" borderId="2" xfId="0" applyNumberFormat="1" applyFont="1" applyFill="1" applyBorder="1"/>
    <xf numFmtId="167" fontId="0" fillId="0" borderId="0" xfId="0" applyNumberFormat="1" applyAlignment="1">
      <alignment horizontal="center" vertical="top" wrapText="1"/>
    </xf>
    <xf numFmtId="169" fontId="0" fillId="0" borderId="0" xfId="0" applyNumberFormat="1"/>
    <xf numFmtId="2" fontId="0" fillId="4" borderId="1" xfId="0" applyNumberFormat="1" applyFill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 vertical="top" wrapText="1"/>
    </xf>
    <xf numFmtId="170" fontId="0" fillId="0" borderId="0" xfId="0" applyNumberFormat="1"/>
    <xf numFmtId="167" fontId="0" fillId="4" borderId="6" xfId="0" applyNumberFormat="1" applyFill="1" applyBorder="1" applyAlignment="1">
      <alignment horizontal="center" vertical="top" wrapText="1"/>
    </xf>
    <xf numFmtId="167" fontId="0" fillId="3" borderId="3" xfId="0" applyNumberFormat="1" applyFill="1" applyBorder="1" applyAlignment="1">
      <alignment horizontal="center"/>
    </xf>
    <xf numFmtId="2" fontId="1" fillId="0" borderId="2" xfId="2" applyNumberFormat="1" applyBorder="1"/>
    <xf numFmtId="0" fontId="0" fillId="0" borderId="0" xfId="0" applyAlignment="1">
      <alignment horizontal="left"/>
    </xf>
    <xf numFmtId="167" fontId="0" fillId="4" borderId="1" xfId="0" applyNumberFormat="1" applyFill="1" applyBorder="1" applyAlignment="1">
      <alignment horizontal="center" vertical="top" wrapText="1"/>
    </xf>
    <xf numFmtId="169" fontId="4" fillId="2" borderId="1" xfId="0" applyNumberFormat="1" applyFont="1" applyFill="1" applyBorder="1" applyAlignment="1">
      <alignment horizontal="center" vertical="top" wrapText="1"/>
    </xf>
    <xf numFmtId="169" fontId="0" fillId="3" borderId="1" xfId="0" applyNumberFormat="1" applyFill="1" applyBorder="1" applyAlignment="1">
      <alignment horizontal="center"/>
    </xf>
    <xf numFmtId="11" fontId="0" fillId="4" borderId="1" xfId="0" applyNumberFormat="1" applyFill="1" applyBorder="1" applyAlignment="1">
      <alignment horizontal="center" vertical="top" wrapText="1"/>
    </xf>
    <xf numFmtId="172" fontId="0" fillId="0" borderId="2" xfId="0" applyNumberFormat="1" applyBorder="1"/>
    <xf numFmtId="0" fontId="0" fillId="0" borderId="2" xfId="0" applyBorder="1"/>
    <xf numFmtId="2" fontId="0" fillId="10" borderId="1" xfId="0" applyNumberFormat="1" applyFill="1" applyBorder="1" applyAlignment="1">
      <alignment horizontal="center" vertical="top" wrapText="1"/>
    </xf>
    <xf numFmtId="11" fontId="0" fillId="10" borderId="1" xfId="0" applyNumberFormat="1" applyFill="1" applyBorder="1" applyAlignment="1">
      <alignment horizontal="center" vertical="top" wrapText="1"/>
    </xf>
    <xf numFmtId="14" fontId="0" fillId="0" borderId="7" xfId="0" applyNumberFormat="1" applyBorder="1" applyAlignment="1">
      <alignment horizontal="justify" vertical="justify"/>
    </xf>
    <xf numFmtId="2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 vertical="justify"/>
    </xf>
    <xf numFmtId="2" fontId="0" fillId="0" borderId="2" xfId="0" applyNumberFormat="1" applyBorder="1" applyAlignment="1">
      <alignment horizontal="center" vertical="justify"/>
    </xf>
    <xf numFmtId="168" fontId="0" fillId="10" borderId="2" xfId="0" applyNumberFormat="1" applyFill="1" applyBorder="1" applyAlignment="1">
      <alignment horizontal="center" vertical="justify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7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9" fillId="7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372E1225-7C0B-4B49-9B32-82AB0E33CE26}"/>
    <cellStyle name="Normal 4" xfId="3" xr:uid="{18EE92B6-B4D2-466C-B008-0E39A30DD09A}"/>
    <cellStyle name="Standard 2" xfId="1" xr:uid="{92D3D96D-CB21-4DEC-85F8-DC4AFA13E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Volume Error</a:t>
            </a:r>
            <a:r>
              <a:rPr lang="en-GB" sz="1800" baseline="0"/>
              <a:t> for 4</a:t>
            </a:r>
            <a:r>
              <a:rPr lang="en-GB" sz="1800"/>
              <a:t>-inch turbine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Data!$U$13:$U$30</c:f>
              <c:numCache>
                <c:formatCode>0.00</c:formatCode>
                <c:ptCount val="18"/>
                <c:pt idx="0">
                  <c:v>397.95551089259499</c:v>
                </c:pt>
                <c:pt idx="3">
                  <c:v>278.70407429042331</c:v>
                </c:pt>
                <c:pt idx="6">
                  <c:v>159.83142598619966</c:v>
                </c:pt>
                <c:pt idx="9">
                  <c:v>80.437981013910459</c:v>
                </c:pt>
                <c:pt idx="12">
                  <c:v>40.321465033856633</c:v>
                </c:pt>
                <c:pt idx="15">
                  <c:v>20.337240057116066</c:v>
                </c:pt>
              </c:numCache>
            </c:numRef>
          </c:xVal>
          <c:yVal>
            <c:numRef>
              <c:f>Data!$N$13:$N$30</c:f>
              <c:numCache>
                <c:formatCode>0.000</c:formatCode>
                <c:ptCount val="18"/>
                <c:pt idx="0">
                  <c:v>0.43579130479356598</c:v>
                </c:pt>
                <c:pt idx="3">
                  <c:v>0.40697778375648092</c:v>
                </c:pt>
                <c:pt idx="6">
                  <c:v>0.32783609891621163</c:v>
                </c:pt>
                <c:pt idx="9">
                  <c:v>0.24072246388204929</c:v>
                </c:pt>
                <c:pt idx="12">
                  <c:v>0.12934529719152221</c:v>
                </c:pt>
                <c:pt idx="15">
                  <c:v>0.28659242544871238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81-4B2F-912F-4F1D2B203494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Data!$AR$13:$AR$30</c:f>
              <c:numCache>
                <c:formatCode>0.00</c:formatCode>
                <c:ptCount val="18"/>
                <c:pt idx="0">
                  <c:v>323.27790063771101</c:v>
                </c:pt>
                <c:pt idx="3">
                  <c:v>282.18253091897736</c:v>
                </c:pt>
                <c:pt idx="6">
                  <c:v>160.45113857597244</c:v>
                </c:pt>
                <c:pt idx="9">
                  <c:v>80.073548827961943</c:v>
                </c:pt>
                <c:pt idx="12">
                  <c:v>40.019370334075866</c:v>
                </c:pt>
              </c:numCache>
            </c:numRef>
          </c:xVal>
          <c:yVal>
            <c:numRef>
              <c:f>Data!$AK$13:$AK$30</c:f>
              <c:numCache>
                <c:formatCode>0.000</c:formatCode>
                <c:ptCount val="18"/>
                <c:pt idx="0">
                  <c:v>2.9001824808290898E-2</c:v>
                </c:pt>
                <c:pt idx="3">
                  <c:v>0.15409850324290753</c:v>
                </c:pt>
                <c:pt idx="6">
                  <c:v>0.33823849701295677</c:v>
                </c:pt>
                <c:pt idx="9">
                  <c:v>0.30164187849878865</c:v>
                </c:pt>
                <c:pt idx="12">
                  <c:v>0.15079639053427374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581-4B2F-912F-4F1D2B203494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Data!$BN$13:$BN$30</c:f>
              <c:numCache>
                <c:formatCode>0.00</c:formatCode>
                <c:ptCount val="18"/>
                <c:pt idx="0">
                  <c:v>386.7582242980273</c:v>
                </c:pt>
                <c:pt idx="3">
                  <c:v>272.87453113596513</c:v>
                </c:pt>
                <c:pt idx="6">
                  <c:v>158.57114719242651</c:v>
                </c:pt>
                <c:pt idx="9">
                  <c:v>83.296439172835747</c:v>
                </c:pt>
                <c:pt idx="12">
                  <c:v>34.136496549109502</c:v>
                </c:pt>
                <c:pt idx="15">
                  <c:v>24.452113003249561</c:v>
                </c:pt>
              </c:numCache>
            </c:numRef>
          </c:xVal>
          <c:yVal>
            <c:numRef>
              <c:f>Data!$BG$13:$BG$30</c:f>
              <c:numCache>
                <c:formatCode>0.000</c:formatCode>
                <c:ptCount val="18"/>
                <c:pt idx="0">
                  <c:v>0.10389816107058951</c:v>
                </c:pt>
                <c:pt idx="3">
                  <c:v>8.3696180521957861E-2</c:v>
                </c:pt>
                <c:pt idx="6">
                  <c:v>0.11521024833533894</c:v>
                </c:pt>
                <c:pt idx="9">
                  <c:v>1.4191445859336345E-3</c:v>
                </c:pt>
                <c:pt idx="12">
                  <c:v>-0.44060445039733981</c:v>
                </c:pt>
                <c:pt idx="15">
                  <c:v>-0.5081838211596067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581-4B2F-912F-4F1D2B203494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Data!$U$42:$U$59</c:f>
              <c:numCache>
                <c:formatCode>0.00</c:formatCode>
                <c:ptCount val="18"/>
                <c:pt idx="0">
                  <c:v>398.11541170916865</c:v>
                </c:pt>
                <c:pt idx="3">
                  <c:v>278.8696654430687</c:v>
                </c:pt>
                <c:pt idx="6">
                  <c:v>159.992090702833</c:v>
                </c:pt>
                <c:pt idx="9">
                  <c:v>80.01942477070871</c:v>
                </c:pt>
                <c:pt idx="12">
                  <c:v>40.438504474517636</c:v>
                </c:pt>
                <c:pt idx="15">
                  <c:v>20.840667909999365</c:v>
                </c:pt>
              </c:numCache>
            </c:numRef>
          </c:xVal>
          <c:yVal>
            <c:numRef>
              <c:f>Data!$N$42:$N$59</c:f>
              <c:numCache>
                <c:formatCode>0.000</c:formatCode>
                <c:ptCount val="18"/>
                <c:pt idx="0">
                  <c:v>0.44502175912248237</c:v>
                </c:pt>
                <c:pt idx="3">
                  <c:v>0.41398044548205309</c:v>
                </c:pt>
                <c:pt idx="6">
                  <c:v>0.28713577269880214</c:v>
                </c:pt>
                <c:pt idx="9">
                  <c:v>-2.9358656092819069E-2</c:v>
                </c:pt>
                <c:pt idx="12">
                  <c:v>-0.23236077015275747</c:v>
                </c:pt>
                <c:pt idx="15">
                  <c:v>-0.26579964572501835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81-4B2F-912F-4F1D2B203494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Data!$AR$42:$AR$59</c:f>
              <c:numCache>
                <c:formatCode>0.00</c:formatCode>
                <c:ptCount val="18"/>
                <c:pt idx="0">
                  <c:v>342.56643596109853</c:v>
                </c:pt>
                <c:pt idx="3">
                  <c:v>281.64488276393769</c:v>
                </c:pt>
                <c:pt idx="6">
                  <c:v>160.33911299719611</c:v>
                </c:pt>
                <c:pt idx="9">
                  <c:v>80.055611651137781</c:v>
                </c:pt>
                <c:pt idx="12">
                  <c:v>40.016515067351932</c:v>
                </c:pt>
                <c:pt idx="15">
                  <c:v>20.007150072844507</c:v>
                </c:pt>
              </c:numCache>
              <c:extLst xmlns:c15="http://schemas.microsoft.com/office/drawing/2012/chart"/>
            </c:numRef>
          </c:xVal>
          <c:yVal>
            <c:numRef>
              <c:f>Data!$AK$42:$AK$59</c:f>
              <c:numCache>
                <c:formatCode>0.000</c:formatCode>
                <c:ptCount val="18"/>
                <c:pt idx="0">
                  <c:v>0.18178136735812267</c:v>
                </c:pt>
                <c:pt idx="3">
                  <c:v>0.17860847738316907</c:v>
                </c:pt>
                <c:pt idx="6">
                  <c:v>0.25672934375865303</c:v>
                </c:pt>
                <c:pt idx="9">
                  <c:v>0.26599050468995439</c:v>
                </c:pt>
                <c:pt idx="12">
                  <c:v>0.14389497569375292</c:v>
                </c:pt>
                <c:pt idx="15">
                  <c:v>-6.1547913949535682E-2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F581-4B2F-912F-4F1D2B203494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Data!$BN$42:$BN$59</c:f>
              <c:numCache>
                <c:formatCode>0.00</c:formatCode>
                <c:ptCount val="18"/>
                <c:pt idx="0">
                  <c:v>386.604419060194</c:v>
                </c:pt>
                <c:pt idx="3">
                  <c:v>277.25761158025261</c:v>
                </c:pt>
                <c:pt idx="6">
                  <c:v>161.75690720258498</c:v>
                </c:pt>
                <c:pt idx="9">
                  <c:v>85.392521077614148</c:v>
                </c:pt>
                <c:pt idx="12">
                  <c:v>34.990901381865449</c:v>
                </c:pt>
                <c:pt idx="15">
                  <c:v>25.04771783784506</c:v>
                </c:pt>
              </c:numCache>
            </c:numRef>
          </c:xVal>
          <c:yVal>
            <c:numRef>
              <c:f>Data!$BG$42:$BG$59</c:f>
              <c:numCache>
                <c:formatCode>0.000</c:formatCode>
                <c:ptCount val="18"/>
                <c:pt idx="0">
                  <c:v>-3.9621506756552559E-3</c:v>
                </c:pt>
                <c:pt idx="3">
                  <c:v>6.2425648177725897E-2</c:v>
                </c:pt>
                <c:pt idx="6">
                  <c:v>0.1309125745884186</c:v>
                </c:pt>
                <c:pt idx="9">
                  <c:v>-8.4623813371603671E-2</c:v>
                </c:pt>
                <c:pt idx="12">
                  <c:v>-0.65561054609638714</c:v>
                </c:pt>
                <c:pt idx="15">
                  <c:v>-0.81791124822614414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F581-4B2F-912F-4F1D2B203494}"/>
            </c:ext>
          </c:extLst>
        </c:ser>
        <c:ser>
          <c:idx val="12"/>
          <c:order val="8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</c:numRef>
            </c:plus>
            <c:min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Sheet2!$C$13</c:f>
              <c:numCache>
                <c:formatCode>0.00</c:formatCode>
                <c:ptCount val="1"/>
                <c:pt idx="0">
                  <c:v>450</c:v>
                </c:pt>
              </c:numCache>
            </c:numRef>
          </c:xVal>
          <c:yVal>
            <c:numRef>
              <c:f>Sheet2!$D$13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7-4187-A039-C1BB017A208B}"/>
            </c:ext>
          </c:extLst>
        </c:ser>
        <c:ser>
          <c:idx val="13"/>
          <c:order val="9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</c:numRef>
            </c:plus>
            <c:min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Sheet2!$C$14</c:f>
              <c:numCache>
                <c:formatCode>0.00</c:formatCode>
                <c:ptCount val="1"/>
                <c:pt idx="0">
                  <c:v>470</c:v>
                </c:pt>
              </c:numCache>
            </c:numRef>
          </c:xVal>
          <c:yVal>
            <c:numRef>
              <c:f>Sheet2!$D$14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07-4187-A039-C1BB017A208B}"/>
            </c:ext>
          </c:extLst>
        </c:ser>
        <c:ser>
          <c:idx val="14"/>
          <c:order val="10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</c:numRef>
            </c:plus>
            <c:min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Sheet2!$C$15</c:f>
              <c:numCache>
                <c:formatCode>0.00</c:formatCode>
                <c:ptCount val="1"/>
                <c:pt idx="0">
                  <c:v>490</c:v>
                </c:pt>
              </c:numCache>
              <c:extLst xmlns:c15="http://schemas.microsoft.com/office/drawing/2012/chart"/>
            </c:numRef>
          </c:xVal>
          <c:yVal>
            <c:numRef>
              <c:f>Sheet2!$D$15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407-4187-A039-C1BB017A208B}"/>
            </c:ext>
          </c:extLst>
        </c:ser>
        <c:ser>
          <c:idx val="11"/>
          <c:order val="13"/>
          <c:tx>
            <c:v>NEL 38 bara 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N2 NEL'!$U$13:$U$30</c:f>
              <c:numCache>
                <c:formatCode>0.00</c:formatCode>
                <c:ptCount val="18"/>
                <c:pt idx="0">
                  <c:v>397.74082709276036</c:v>
                </c:pt>
                <c:pt idx="3">
                  <c:v>332.91797274378035</c:v>
                </c:pt>
                <c:pt idx="6">
                  <c:v>191.276308771511</c:v>
                </c:pt>
                <c:pt idx="9">
                  <c:v>95.035126650903365</c:v>
                </c:pt>
                <c:pt idx="12">
                  <c:v>48.173859477877066</c:v>
                </c:pt>
                <c:pt idx="15">
                  <c:v>24.610299835618434</c:v>
                </c:pt>
              </c:numCache>
              <c:extLst xmlns:c15="http://schemas.microsoft.com/office/drawing/2012/chart"/>
            </c:numRef>
          </c:xVal>
          <c:yVal>
            <c:numRef>
              <c:f>'Data N2 NEL'!$N$13:$N$30</c:f>
              <c:numCache>
                <c:formatCode>0.000</c:formatCode>
                <c:ptCount val="18"/>
                <c:pt idx="0">
                  <c:v>0.38223570158056758</c:v>
                </c:pt>
                <c:pt idx="3">
                  <c:v>0.33152961617072191</c:v>
                </c:pt>
                <c:pt idx="6">
                  <c:v>0.26115579313967469</c:v>
                </c:pt>
                <c:pt idx="9">
                  <c:v>0.11071241530429339</c:v>
                </c:pt>
                <c:pt idx="12">
                  <c:v>-2.196888692994119E-2</c:v>
                </c:pt>
                <c:pt idx="15">
                  <c:v>-0.25623189928932377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081-48B0-BC62-CF5F83AF671F}"/>
            </c:ext>
          </c:extLst>
        </c:ser>
        <c:ser>
          <c:idx val="10"/>
          <c:order val="14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FORCE'!$V$13:$V$33</c:f>
              <c:numCache>
                <c:formatCode>0.00</c:formatCode>
                <c:ptCount val="21"/>
                <c:pt idx="0">
                  <c:v>401.16868699562218</c:v>
                </c:pt>
                <c:pt idx="3">
                  <c:v>320.657964027925</c:v>
                </c:pt>
                <c:pt idx="6">
                  <c:v>280.52803391215127</c:v>
                </c:pt>
                <c:pt idx="9">
                  <c:v>160.12509338266568</c:v>
                </c:pt>
                <c:pt idx="12">
                  <c:v>80.031052321151492</c:v>
                </c:pt>
                <c:pt idx="15">
                  <c:v>40.010885348267813</c:v>
                </c:pt>
                <c:pt idx="18">
                  <c:v>20.005182010578281</c:v>
                </c:pt>
              </c:numCache>
              <c:extLst xmlns:c15="http://schemas.microsoft.com/office/drawing/2012/chart"/>
            </c:numRef>
          </c:xVal>
          <c:yVal>
            <c:numRef>
              <c:f>'Data NG FORCE'!$O$13:$O$33</c:f>
              <c:numCache>
                <c:formatCode>0.000</c:formatCode>
                <c:ptCount val="21"/>
                <c:pt idx="0">
                  <c:v>0.42825366185857977</c:v>
                </c:pt>
                <c:pt idx="3">
                  <c:v>0.38979254691660808</c:v>
                </c:pt>
                <c:pt idx="6">
                  <c:v>0.34899378566288536</c:v>
                </c:pt>
                <c:pt idx="9">
                  <c:v>0.28651018450171861</c:v>
                </c:pt>
                <c:pt idx="12">
                  <c:v>0.17438940476050149</c:v>
                </c:pt>
                <c:pt idx="15">
                  <c:v>2.0049769130124212E-2</c:v>
                </c:pt>
                <c:pt idx="18">
                  <c:v>-0.97170352645324287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7A0-4D3D-8032-232F81432A4B}"/>
            </c:ext>
          </c:extLst>
        </c:ser>
        <c:ser>
          <c:idx val="15"/>
          <c:order val="15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FORCE'!$V$42:$V$62</c:f>
              <c:numCache>
                <c:formatCode>0.00</c:formatCode>
                <c:ptCount val="21"/>
                <c:pt idx="0">
                  <c:v>400.92292293081431</c:v>
                </c:pt>
                <c:pt idx="3">
                  <c:v>340.75971682755534</c:v>
                </c:pt>
                <c:pt idx="6">
                  <c:v>280.45141343479946</c:v>
                </c:pt>
                <c:pt idx="9">
                  <c:v>160.10963231520373</c:v>
                </c:pt>
                <c:pt idx="12">
                  <c:v>80.023855654698735</c:v>
                </c:pt>
                <c:pt idx="15">
                  <c:v>40.00818678955136</c:v>
                </c:pt>
                <c:pt idx="18">
                  <c:v>20.004490790925843</c:v>
                </c:pt>
              </c:numCache>
              <c:extLst xmlns:c15="http://schemas.microsoft.com/office/drawing/2012/chart"/>
            </c:numRef>
          </c:xVal>
          <c:yVal>
            <c:numRef>
              <c:f>'Data NG FORCE'!$O$42:$O$62</c:f>
              <c:numCache>
                <c:formatCode>0.000</c:formatCode>
                <c:ptCount val="21"/>
                <c:pt idx="0">
                  <c:v>0.43169567776863449</c:v>
                </c:pt>
                <c:pt idx="3">
                  <c:v>0.34005477273344947</c:v>
                </c:pt>
                <c:pt idx="6">
                  <c:v>0.3287032184313603</c:v>
                </c:pt>
                <c:pt idx="9">
                  <c:v>0.23833452755203069</c:v>
                </c:pt>
                <c:pt idx="12">
                  <c:v>0.10902304619661007</c:v>
                </c:pt>
                <c:pt idx="15">
                  <c:v>-0.1992804791194881</c:v>
                </c:pt>
                <c:pt idx="18">
                  <c:v>-0.92230176797868557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7A0-4D3D-8032-232F81432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Data!$CA$13:$CA$30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369.33054527611108</c:v>
                      </c:pt>
                      <c:pt idx="3">
                        <c:v>277.92037878178854</c:v>
                      </c:pt>
                      <c:pt idx="6">
                        <c:v>159.61790391819952</c:v>
                      </c:pt>
                      <c:pt idx="9">
                        <c:v>81.269323004902716</c:v>
                      </c:pt>
                      <c:pt idx="12">
                        <c:v>38.159110639013996</c:v>
                      </c:pt>
                      <c:pt idx="15">
                        <c:v>22.394676530182814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Data!$CB$13:$CB$30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9.5058977573553069E-2</c:v>
                      </c:pt>
                      <c:pt idx="3">
                        <c:v>0.16001347586663897</c:v>
                      </c:pt>
                      <c:pt idx="6">
                        <c:v>0.27643703621334964</c:v>
                      </c:pt>
                      <c:pt idx="9">
                        <c:v>0.23830976925658784</c:v>
                      </c:pt>
                      <c:pt idx="12">
                        <c:v>-1.5789448759385181E-2</c:v>
                      </c:pt>
                      <c:pt idx="15">
                        <c:v>-0.29191200309168475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F581-4B2F-912F-4F1D2B203494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Data!$CA$42:$CA$59</c15:sqref>
                        </c15:formulaRef>
                      </c:ext>
                    </c:extLst>
                    <c:numCache>
                      <c:formatCode>0.00</c:formatCode>
                      <c:ptCount val="18"/>
                      <c:pt idx="0">
                        <c:v>375.76208891015375</c:v>
                      </c:pt>
                      <c:pt idx="3">
                        <c:v>279.25738659575296</c:v>
                      </c:pt>
                      <c:pt idx="6">
                        <c:v>160.69603696753802</c:v>
                      </c:pt>
                      <c:pt idx="9">
                        <c:v>81.822519166486885</c:v>
                      </c:pt>
                      <c:pt idx="12">
                        <c:v>38.481973641245013</c:v>
                      </c:pt>
                      <c:pt idx="15">
                        <c:v>21.965178606896313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Data!$CB$42:$CB$59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0.16621295064494471</c:v>
                      </c:pt>
                      <c:pt idx="3">
                        <c:v>0.17225390702208002</c:v>
                      </c:pt>
                      <c:pt idx="6">
                        <c:v>0.22428053059118663</c:v>
                      </c:pt>
                      <c:pt idx="9">
                        <c:v>0.13697406568011017</c:v>
                      </c:pt>
                      <c:pt idx="12">
                        <c:v>-0.10757778158427554</c:v>
                      </c:pt>
                      <c:pt idx="15">
                        <c:v>-0.28176731043573944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581-4B2F-912F-4F1D2B203494}"/>
                  </c:ext>
                </c:extLst>
              </c15:ser>
            </c15:filteredScatterSeries>
            <c15:filteredScatterSeries>
              <c15:ser>
                <c:idx val="8"/>
                <c:order val="11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081-48B0-BC62-CF5F83AF671F}"/>
                  </c:ext>
                </c:extLst>
              </c15:ser>
            </c15:filteredScatterSeries>
            <c15:filteredScatterSeries>
              <c15:ser>
                <c:idx val="9"/>
                <c:order val="12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081-48B0-BC62-CF5F83AF671F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volume flow (m</a:t>
                </a:r>
                <a:r>
                  <a:rPr lang="en-GB" sz="1800" baseline="30000"/>
                  <a:t>3</a:t>
                </a:r>
                <a:r>
                  <a:rPr lang="en-GB" sz="1800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.2"/>
        <c:crossBetween val="midCat"/>
      </c:valAx>
      <c:valAx>
        <c:axId val="9823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E</a:t>
            </a:r>
            <a:r>
              <a:rPr lang="en-GB" sz="1800" baseline="-25000"/>
              <a:t>n</a:t>
            </a:r>
            <a:r>
              <a:rPr lang="en-GB" sz="1800"/>
              <a:t> for 4-inch Turbine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Data!$U$13:$U$30</c:f>
              <c:numCache>
                <c:formatCode>0.00</c:formatCode>
                <c:ptCount val="18"/>
                <c:pt idx="0">
                  <c:v>397.95551089259499</c:v>
                </c:pt>
                <c:pt idx="3">
                  <c:v>278.70407429042331</c:v>
                </c:pt>
                <c:pt idx="6">
                  <c:v>159.83142598619966</c:v>
                </c:pt>
                <c:pt idx="9">
                  <c:v>80.437981013910459</c:v>
                </c:pt>
                <c:pt idx="12">
                  <c:v>40.321465033856633</c:v>
                </c:pt>
                <c:pt idx="15">
                  <c:v>20.337240057116066</c:v>
                </c:pt>
              </c:numCache>
              <c:extLst xmlns:c15="http://schemas.microsoft.com/office/drawing/2012/chart"/>
            </c:numRef>
          </c:xVal>
          <c:yVal>
            <c:numRef>
              <c:f>Data!$CH$13:$CH$30</c:f>
              <c:numCache>
                <c:formatCode>0.00</c:formatCode>
                <c:ptCount val="18"/>
                <c:pt idx="0">
                  <c:v>1.0201309041681592</c:v>
                </c:pt>
                <c:pt idx="3">
                  <c:v>0.71893922264296384</c:v>
                </c:pt>
                <c:pt idx="6">
                  <c:v>0.15444648182122719</c:v>
                </c:pt>
                <c:pt idx="9">
                  <c:v>7.3630332656218654E-3</c:v>
                </c:pt>
                <c:pt idx="12">
                  <c:v>0.43988168297169894</c:v>
                </c:pt>
                <c:pt idx="15">
                  <c:v>1.6534032784965329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D87-4F23-8FC8-5A114E2C5AE3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Data!$AR$13:$AR$30</c:f>
              <c:numCache>
                <c:formatCode>0.00</c:formatCode>
                <c:ptCount val="18"/>
                <c:pt idx="0">
                  <c:v>323.27790063771101</c:v>
                </c:pt>
                <c:pt idx="3">
                  <c:v>282.18253091897736</c:v>
                </c:pt>
                <c:pt idx="6">
                  <c:v>160.45113857597244</c:v>
                </c:pt>
                <c:pt idx="9">
                  <c:v>80.073548827961943</c:v>
                </c:pt>
                <c:pt idx="12">
                  <c:v>40.019370334075866</c:v>
                </c:pt>
              </c:numCache>
              <c:extLst xmlns:c15="http://schemas.microsoft.com/office/drawing/2012/chart"/>
            </c:numRef>
          </c:xVal>
          <c:yVal>
            <c:numRef>
              <c:f>Data!$CK$13:$CK$30</c:f>
              <c:numCache>
                <c:formatCode>0.00</c:formatCode>
                <c:ptCount val="18"/>
                <c:pt idx="0">
                  <c:v>0.69586102346729795</c:v>
                </c:pt>
                <c:pt idx="3">
                  <c:v>6.2210965681205807E-2</c:v>
                </c:pt>
                <c:pt idx="6">
                  <c:v>0.66013170650444164</c:v>
                </c:pt>
                <c:pt idx="9">
                  <c:v>0.75587119302092354</c:v>
                </c:pt>
                <c:pt idx="12">
                  <c:v>1.734902723595412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D87-4F23-8FC8-5A114E2C5AE3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Data!$BN$13:$BN$30</c:f>
              <c:numCache>
                <c:formatCode>0.00</c:formatCode>
                <c:ptCount val="18"/>
                <c:pt idx="0">
                  <c:v>386.7582242980273</c:v>
                </c:pt>
                <c:pt idx="3">
                  <c:v>272.87453113596513</c:v>
                </c:pt>
                <c:pt idx="6">
                  <c:v>158.57114719242651</c:v>
                </c:pt>
                <c:pt idx="9">
                  <c:v>83.296439172835747</c:v>
                </c:pt>
                <c:pt idx="12">
                  <c:v>34.136496549109502</c:v>
                </c:pt>
                <c:pt idx="15">
                  <c:v>24.452113003249561</c:v>
                </c:pt>
              </c:numCache>
            </c:numRef>
          </c:xVal>
          <c:yVal>
            <c:numRef>
              <c:f>Data!$CN$13:$CN$30</c:f>
              <c:numCache>
                <c:formatCode>0.00</c:formatCode>
                <c:ptCount val="18"/>
                <c:pt idx="0">
                  <c:v>4.7783705816026478E-2</c:v>
                </c:pt>
                <c:pt idx="3">
                  <c:v>0.41709317611153868</c:v>
                </c:pt>
                <c:pt idx="6">
                  <c:v>0.8314345332854215</c:v>
                </c:pt>
                <c:pt idx="9">
                  <c:v>0.90721086555571528</c:v>
                </c:pt>
                <c:pt idx="12">
                  <c:v>2.2066947548465548</c:v>
                </c:pt>
                <c:pt idx="15">
                  <c:v>1.6534032784965327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87-4F23-8FC8-5A114E2C5AE3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Data!$U$42:$U$59</c:f>
              <c:numCache>
                <c:formatCode>0.00</c:formatCode>
                <c:ptCount val="18"/>
                <c:pt idx="0">
                  <c:v>398.11541170916865</c:v>
                </c:pt>
                <c:pt idx="3">
                  <c:v>278.8696654430687</c:v>
                </c:pt>
                <c:pt idx="6">
                  <c:v>159.992090702833</c:v>
                </c:pt>
                <c:pt idx="9">
                  <c:v>80.01942477070871</c:v>
                </c:pt>
                <c:pt idx="12">
                  <c:v>40.438504474517636</c:v>
                </c:pt>
                <c:pt idx="15">
                  <c:v>20.840667909999365</c:v>
                </c:pt>
              </c:numCache>
              <c:extLst xmlns:c15="http://schemas.microsoft.com/office/drawing/2012/chart"/>
            </c:numRef>
          </c:xVal>
          <c:yVal>
            <c:numRef>
              <c:f>Data!$CH$42:$CH$59</c:f>
              <c:numCache>
                <c:formatCode>0.00</c:formatCode>
                <c:ptCount val="18"/>
                <c:pt idx="0">
                  <c:v>0.84608112598923946</c:v>
                </c:pt>
                <c:pt idx="3">
                  <c:v>0.72771041987126861</c:v>
                </c:pt>
                <c:pt idx="6">
                  <c:v>0.18904180240265897</c:v>
                </c:pt>
                <c:pt idx="9">
                  <c:v>0.49448900732974743</c:v>
                </c:pt>
                <c:pt idx="12">
                  <c:v>0.36499764062735879</c:v>
                </c:pt>
                <c:pt idx="15">
                  <c:v>4.8206945470236122E-2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87-4F23-8FC8-5A114E2C5AE3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Data!$AR$42:$AR$59</c:f>
              <c:numCache>
                <c:formatCode>0.00</c:formatCode>
                <c:ptCount val="18"/>
                <c:pt idx="0">
                  <c:v>342.56643596109853</c:v>
                </c:pt>
                <c:pt idx="3">
                  <c:v>281.64488276393769</c:v>
                </c:pt>
                <c:pt idx="6">
                  <c:v>160.33911299719611</c:v>
                </c:pt>
                <c:pt idx="9">
                  <c:v>80.055611651137781</c:v>
                </c:pt>
                <c:pt idx="12">
                  <c:v>40.016515067351932</c:v>
                </c:pt>
                <c:pt idx="15">
                  <c:v>20.007150072844507</c:v>
                </c:pt>
              </c:numCache>
              <c:extLst xmlns:c15="http://schemas.microsoft.com/office/drawing/2012/chart"/>
            </c:numRef>
          </c:xVal>
          <c:yVal>
            <c:numRef>
              <c:f>Data!$CK$42:$CK$59</c:f>
              <c:numCache>
                <c:formatCode>0.00</c:formatCode>
                <c:ptCount val="18"/>
                <c:pt idx="0">
                  <c:v>0.16964571758162475</c:v>
                </c:pt>
                <c:pt idx="3">
                  <c:v>6.7723625686995179E-2</c:v>
                </c:pt>
                <c:pt idx="6">
                  <c:v>0.33888530570551539</c:v>
                </c:pt>
                <c:pt idx="9">
                  <c:v>1.3741060149366005</c:v>
                </c:pt>
                <c:pt idx="12">
                  <c:v>2.7090469309421876</c:v>
                </c:pt>
                <c:pt idx="15">
                  <c:v>2.3955647468487586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D87-4F23-8FC8-5A114E2C5AE3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Data!$BN$42:$BN$59</c:f>
              <c:numCache>
                <c:formatCode>0.00</c:formatCode>
                <c:ptCount val="18"/>
                <c:pt idx="0">
                  <c:v>386.604419060194</c:v>
                </c:pt>
                <c:pt idx="3">
                  <c:v>277.25761158025261</c:v>
                </c:pt>
                <c:pt idx="6">
                  <c:v>161.75690720258498</c:v>
                </c:pt>
                <c:pt idx="9">
                  <c:v>85.392521077614148</c:v>
                </c:pt>
                <c:pt idx="12">
                  <c:v>34.990901381865449</c:v>
                </c:pt>
                <c:pt idx="15">
                  <c:v>25.04771783784506</c:v>
                </c:pt>
              </c:numCache>
            </c:numRef>
          </c:xVal>
          <c:yVal>
            <c:numRef>
              <c:f>Data!$CN$42:$CN$59</c:f>
              <c:numCache>
                <c:formatCode>0.00</c:formatCode>
                <c:ptCount val="18"/>
                <c:pt idx="0">
                  <c:v>0.81780515106208385</c:v>
                </c:pt>
                <c:pt idx="3">
                  <c:v>0.58288885026740755</c:v>
                </c:pt>
                <c:pt idx="6">
                  <c:v>0.49934241444531002</c:v>
                </c:pt>
                <c:pt idx="9">
                  <c:v>1.1506779515759082</c:v>
                </c:pt>
                <c:pt idx="12">
                  <c:v>2.7171349152260476</c:v>
                </c:pt>
                <c:pt idx="15">
                  <c:v>2.6768641014095125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D87-4F23-8FC8-5A114E2C5AE3}"/>
            </c:ext>
          </c:extLst>
        </c:ser>
        <c:ser>
          <c:idx val="12"/>
          <c:order val="9"/>
          <c:tx>
            <c:v>Warning level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Sheet2!$C$8:$C$9</c:f>
              <c:numCache>
                <c:formatCode>0.00E+00</c:formatCode>
                <c:ptCount val="2"/>
                <c:pt idx="0">
                  <c:v>0</c:v>
                </c:pt>
                <c:pt idx="1">
                  <c:v>450</c:v>
                </c:pt>
              </c:numCache>
            </c:numRef>
          </c:xVal>
          <c:yVal>
            <c:numRef>
              <c:f>Sheet2!$D$8:$D$9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D87-4F23-8FC8-5A114E2C5AE3}"/>
            </c:ext>
          </c:extLst>
        </c:ser>
        <c:ser>
          <c:idx val="13"/>
          <c:order val="10"/>
          <c:tx>
            <c:v>Critical level</c:v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Sheet2!$C$8:$C$9</c:f>
              <c:numCache>
                <c:formatCode>0.00E+00</c:formatCode>
                <c:ptCount val="2"/>
                <c:pt idx="0">
                  <c:v>0</c:v>
                </c:pt>
                <c:pt idx="1">
                  <c:v>450</c:v>
                </c:pt>
              </c:numCache>
            </c:numRef>
          </c:xVal>
          <c:yVal>
            <c:numRef>
              <c:f>Sheet2!$E$8:$E$9</c:f>
              <c:numCache>
                <c:formatCode>General</c:formatCode>
                <c:ptCount val="2"/>
                <c:pt idx="0">
                  <c:v>1.2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D87-4F23-8FC8-5A114E2C5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6"/>
                <c:tx>
                  <c:v>KCRV 10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Data!$CA$18:$CA$30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1">
                        <c:v>159.61790391819952</c:v>
                      </c:pt>
                      <c:pt idx="4">
                        <c:v>81.269323004902716</c:v>
                      </c:pt>
                      <c:pt idx="7">
                        <c:v>38.159110639013996</c:v>
                      </c:pt>
                      <c:pt idx="10">
                        <c:v>22.394676530182814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Data!$CB$18:$CB$30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1">
                        <c:v>0.27643703621334964</c:v>
                      </c:pt>
                      <c:pt idx="4">
                        <c:v>0.23830976925658784</c:v>
                      </c:pt>
                      <c:pt idx="7">
                        <c:v>-1.5789448759385181E-2</c:v>
                      </c:pt>
                      <c:pt idx="10">
                        <c:v>-0.29191200309168475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9D87-4F23-8FC8-5A114E2C5AE3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30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Data!$CA$52:$CA$59</c15:sqref>
                        </c15:formulaRef>
                      </c:ext>
                    </c:extLst>
                    <c:numCache>
                      <c:formatCode>0.00</c:formatCode>
                      <c:ptCount val="8"/>
                      <c:pt idx="2">
                        <c:v>38.481973641245013</c:v>
                      </c:pt>
                      <c:pt idx="5">
                        <c:v>21.965178606896313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Data!$CB$52:$CB$59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2">
                        <c:v>-0.10757778158427554</c:v>
                      </c:pt>
                      <c:pt idx="5">
                        <c:v>-0.28176731043573944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D87-4F23-8FC8-5A114E2C5AE3}"/>
                  </c:ext>
                </c:extLst>
              </c15:ser>
            </c15:filteredScatterSeries>
            <c15:filteredScatterSeries>
              <c15:ser>
                <c:idx val="10"/>
                <c:order val="8"/>
                <c:tx>
                  <c:v>KRVC 50 bar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9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D87-4F23-8FC8-5A114E2C5AE3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Reference volume flow (m</a:t>
                </a:r>
                <a:r>
                  <a:rPr lang="en-GB" sz="1800" baseline="30000"/>
                  <a:t>3</a:t>
                </a:r>
                <a:r>
                  <a:rPr lang="en-GB" sz="1800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0.60000000000000009"/>
        <c:crossBetween val="midCat"/>
      </c:valAx>
      <c:valAx>
        <c:axId val="9823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En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Volume Error</a:t>
            </a:r>
            <a:r>
              <a:rPr lang="en-GB" sz="1800" baseline="0"/>
              <a:t> for 4</a:t>
            </a:r>
            <a:r>
              <a:rPr lang="en-GB" sz="1800"/>
              <a:t>-inch turbine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Data!$W$13:$W$30</c:f>
              <c:numCache>
                <c:formatCode>0.0E+00</c:formatCode>
                <c:ptCount val="18"/>
                <c:pt idx="0">
                  <c:v>6382062.5988686234</c:v>
                </c:pt>
                <c:pt idx="3">
                  <c:v>4463186.6971721873</c:v>
                </c:pt>
                <c:pt idx="6">
                  <c:v>2557302.8664934267</c:v>
                </c:pt>
                <c:pt idx="9">
                  <c:v>1285436.4355013398</c:v>
                </c:pt>
                <c:pt idx="12">
                  <c:v>644310.69598909991</c:v>
                </c:pt>
                <c:pt idx="15">
                  <c:v>325275.47097814031</c:v>
                </c:pt>
              </c:numCache>
            </c:numRef>
          </c:xVal>
          <c:yVal>
            <c:numRef>
              <c:f>Data!$N$13:$N$30</c:f>
              <c:numCache>
                <c:formatCode>0.000</c:formatCode>
                <c:ptCount val="18"/>
                <c:pt idx="0">
                  <c:v>0.43579130479356598</c:v>
                </c:pt>
                <c:pt idx="3">
                  <c:v>0.40697778375648092</c:v>
                </c:pt>
                <c:pt idx="6">
                  <c:v>0.32783609891621163</c:v>
                </c:pt>
                <c:pt idx="9">
                  <c:v>0.24072246388204929</c:v>
                </c:pt>
                <c:pt idx="12">
                  <c:v>0.12934529719152221</c:v>
                </c:pt>
                <c:pt idx="15">
                  <c:v>0.28659242544871238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C3-4BB1-9F00-99C56C2750E1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Data!$AT$13:$AT$30</c:f>
              <c:numCache>
                <c:formatCode>0.0E+00</c:formatCode>
                <c:ptCount val="18"/>
                <c:pt idx="0">
                  <c:v>5013679.1790019386</c:v>
                </c:pt>
                <c:pt idx="3">
                  <c:v>4385119.678611164</c:v>
                </c:pt>
                <c:pt idx="6">
                  <c:v>2511930.8241180461</c:v>
                </c:pt>
                <c:pt idx="9">
                  <c:v>1255520.1156903945</c:v>
                </c:pt>
                <c:pt idx="12">
                  <c:v>628850.3923848283</c:v>
                </c:pt>
              </c:numCache>
              <c:extLst xmlns:c15="http://schemas.microsoft.com/office/drawing/2012/chart"/>
            </c:numRef>
          </c:xVal>
          <c:yVal>
            <c:numRef>
              <c:f>Data!$AK$13:$AK$30</c:f>
              <c:numCache>
                <c:formatCode>0.000</c:formatCode>
                <c:ptCount val="18"/>
                <c:pt idx="0">
                  <c:v>2.9001824808290898E-2</c:v>
                </c:pt>
                <c:pt idx="3">
                  <c:v>0.15409850324290753</c:v>
                </c:pt>
                <c:pt idx="6">
                  <c:v>0.33823849701295677</c:v>
                </c:pt>
                <c:pt idx="9">
                  <c:v>0.30164187849878865</c:v>
                </c:pt>
                <c:pt idx="12">
                  <c:v>0.15079639053427374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35C3-4BB1-9F00-99C56C2750E1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Data!$BP$13:$BP$30</c:f>
              <c:numCache>
                <c:formatCode>0.0E+00</c:formatCode>
                <c:ptCount val="18"/>
                <c:pt idx="0">
                  <c:v>5761967.6687396728</c:v>
                </c:pt>
                <c:pt idx="3">
                  <c:v>4258214.5404843315</c:v>
                </c:pt>
                <c:pt idx="6">
                  <c:v>2524249.1273759622</c:v>
                </c:pt>
                <c:pt idx="9">
                  <c:v>1326328.3567390884</c:v>
                </c:pt>
                <c:pt idx="12">
                  <c:v>547381.41043593478</c:v>
                </c:pt>
                <c:pt idx="15">
                  <c:v>392152.01406937069</c:v>
                </c:pt>
              </c:numCache>
            </c:numRef>
          </c:xVal>
          <c:yVal>
            <c:numRef>
              <c:f>Data!$BG$13:$BG$30</c:f>
              <c:numCache>
                <c:formatCode>0.000</c:formatCode>
                <c:ptCount val="18"/>
                <c:pt idx="0">
                  <c:v>0.10389816107058951</c:v>
                </c:pt>
                <c:pt idx="3">
                  <c:v>8.3696180521957861E-2</c:v>
                </c:pt>
                <c:pt idx="6">
                  <c:v>0.11521024833533894</c:v>
                </c:pt>
                <c:pt idx="9">
                  <c:v>1.4191445859336345E-3</c:v>
                </c:pt>
                <c:pt idx="12">
                  <c:v>-0.44060445039733981</c:v>
                </c:pt>
                <c:pt idx="15">
                  <c:v>-0.5081838211596067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5C3-4BB1-9F00-99C56C2750E1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Data!$W$42:$W$59</c:f>
              <c:numCache>
                <c:formatCode>0.0E+00</c:formatCode>
                <c:ptCount val="18"/>
                <c:pt idx="0">
                  <c:v>4076958.4785632435</c:v>
                </c:pt>
                <c:pt idx="3">
                  <c:v>2855489.02647705</c:v>
                </c:pt>
                <c:pt idx="6">
                  <c:v>1637088.3352514068</c:v>
                </c:pt>
                <c:pt idx="9">
                  <c:v>818088.88639224798</c:v>
                </c:pt>
                <c:pt idx="12">
                  <c:v>413400.74053245736</c:v>
                </c:pt>
                <c:pt idx="15">
                  <c:v>213135.71484477699</c:v>
                </c:pt>
              </c:numCache>
            </c:numRef>
          </c:xVal>
          <c:yVal>
            <c:numRef>
              <c:f>Data!$N$42:$N$59</c:f>
              <c:numCache>
                <c:formatCode>0.000</c:formatCode>
                <c:ptCount val="18"/>
                <c:pt idx="0">
                  <c:v>0.44502175912248237</c:v>
                </c:pt>
                <c:pt idx="3">
                  <c:v>0.41398044548205309</c:v>
                </c:pt>
                <c:pt idx="6">
                  <c:v>0.28713577269880214</c:v>
                </c:pt>
                <c:pt idx="9">
                  <c:v>-2.9358656092819069E-2</c:v>
                </c:pt>
                <c:pt idx="12">
                  <c:v>-0.23236077015275747</c:v>
                </c:pt>
                <c:pt idx="15">
                  <c:v>-0.26579964572501835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C3-4BB1-9F00-99C56C2750E1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Data!$AT$42:$AT$59</c:f>
              <c:numCache>
                <c:formatCode>0.0E+00</c:formatCode>
                <c:ptCount val="18"/>
                <c:pt idx="0">
                  <c:v>3342471.453523559</c:v>
                </c:pt>
                <c:pt idx="3">
                  <c:v>2751095.9861161872</c:v>
                </c:pt>
                <c:pt idx="6">
                  <c:v>1573955.8968032803</c:v>
                </c:pt>
                <c:pt idx="9">
                  <c:v>798146.85017852217</c:v>
                </c:pt>
                <c:pt idx="12">
                  <c:v>398954.23740763147</c:v>
                </c:pt>
                <c:pt idx="15">
                  <c:v>198924.78078131346</c:v>
                </c:pt>
              </c:numCache>
              <c:extLst xmlns:c15="http://schemas.microsoft.com/office/drawing/2012/chart"/>
            </c:numRef>
          </c:xVal>
          <c:yVal>
            <c:numRef>
              <c:f>Data!$AK$42:$AK$59</c:f>
              <c:numCache>
                <c:formatCode>0.000</c:formatCode>
                <c:ptCount val="18"/>
                <c:pt idx="0">
                  <c:v>0.18178136735812267</c:v>
                </c:pt>
                <c:pt idx="3">
                  <c:v>0.17860847738316907</c:v>
                </c:pt>
                <c:pt idx="6">
                  <c:v>0.25672934375865303</c:v>
                </c:pt>
                <c:pt idx="9">
                  <c:v>0.26599050468995439</c:v>
                </c:pt>
                <c:pt idx="12">
                  <c:v>0.14389497569375292</c:v>
                </c:pt>
                <c:pt idx="15">
                  <c:v>-6.1547913949535682E-2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35C3-4BB1-9F00-99C56C2750E1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Data!$BP$42:$BP$59</c:f>
              <c:numCache>
                <c:formatCode>0.0E+00</c:formatCode>
                <c:ptCount val="18"/>
                <c:pt idx="0">
                  <c:v>4172588.2835406363</c:v>
                </c:pt>
                <c:pt idx="3">
                  <c:v>3174560.6915504504</c:v>
                </c:pt>
                <c:pt idx="6">
                  <c:v>1911519.258759809</c:v>
                </c:pt>
                <c:pt idx="9">
                  <c:v>1019901.3993886675</c:v>
                </c:pt>
                <c:pt idx="12">
                  <c:v>413044.0045647361</c:v>
                </c:pt>
                <c:pt idx="15">
                  <c:v>293929.6533173513</c:v>
                </c:pt>
              </c:numCache>
            </c:numRef>
          </c:xVal>
          <c:yVal>
            <c:numRef>
              <c:f>Data!$BG$42:$BG$59</c:f>
              <c:numCache>
                <c:formatCode>0.000</c:formatCode>
                <c:ptCount val="18"/>
                <c:pt idx="0">
                  <c:v>-3.9621506756552559E-3</c:v>
                </c:pt>
                <c:pt idx="3">
                  <c:v>6.2425648177725897E-2</c:v>
                </c:pt>
                <c:pt idx="6">
                  <c:v>0.1309125745884186</c:v>
                </c:pt>
                <c:pt idx="9">
                  <c:v>-8.4623813371603671E-2</c:v>
                </c:pt>
                <c:pt idx="12">
                  <c:v>-0.65561054609638714</c:v>
                </c:pt>
                <c:pt idx="15">
                  <c:v>-0.81791124822614414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5C3-4BB1-9F00-99C56C2750E1}"/>
            </c:ext>
          </c:extLst>
        </c:ser>
        <c:ser>
          <c:idx val="2"/>
          <c:order val="6"/>
          <c:tx>
            <c:v>KCRV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Data!$BZ$13:$BZ$30</c:f>
              <c:numCache>
                <c:formatCode>0.00E+00</c:formatCode>
                <c:ptCount val="18"/>
                <c:pt idx="0">
                  <c:v>5719236.4822034119</c:v>
                </c:pt>
                <c:pt idx="3">
                  <c:v>4368840.3054225603</c:v>
                </c:pt>
                <c:pt idx="6">
                  <c:v>2531160.939329145</c:v>
                </c:pt>
                <c:pt idx="9">
                  <c:v>1289094.9693102741</c:v>
                </c:pt>
                <c:pt idx="12">
                  <c:v>606847.49960328767</c:v>
                </c:pt>
                <c:pt idx="15">
                  <c:v>358713.74252375553</c:v>
                </c:pt>
              </c:numCache>
            </c:numRef>
          </c:xVal>
          <c:yVal>
            <c:numRef>
              <c:f>Data!$CB$13:$CB$30</c:f>
              <c:numCache>
                <c:formatCode>General</c:formatCode>
                <c:ptCount val="18"/>
                <c:pt idx="0">
                  <c:v>9.5058977573553069E-2</c:v>
                </c:pt>
                <c:pt idx="3">
                  <c:v>0.16001347586663897</c:v>
                </c:pt>
                <c:pt idx="6">
                  <c:v>0.27643703621334964</c:v>
                </c:pt>
                <c:pt idx="9">
                  <c:v>0.23830976925658784</c:v>
                </c:pt>
                <c:pt idx="12">
                  <c:v>-1.5789448759385181E-2</c:v>
                </c:pt>
                <c:pt idx="15">
                  <c:v>-0.29191200309168475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35C3-4BB1-9F00-99C56C2750E1}"/>
            </c:ext>
          </c:extLst>
        </c:ser>
        <c:ser>
          <c:idx val="5"/>
          <c:order val="7"/>
          <c:tx>
            <c:v>KRVC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Data!$BZ$42:$BZ$59</c:f>
              <c:numCache>
                <c:formatCode>0.00E+00</c:formatCode>
                <c:ptCount val="18"/>
                <c:pt idx="0">
                  <c:v>3864006.071875813</c:v>
                </c:pt>
                <c:pt idx="3">
                  <c:v>2927048.568047896</c:v>
                </c:pt>
                <c:pt idx="6">
                  <c:v>1707521.163604832</c:v>
                </c:pt>
                <c:pt idx="9">
                  <c:v>878712.37865314586</c:v>
                </c:pt>
                <c:pt idx="12">
                  <c:v>408466.32750160829</c:v>
                </c:pt>
                <c:pt idx="15">
                  <c:v>235330.0496478139</c:v>
                </c:pt>
              </c:numCache>
            </c:numRef>
          </c:xVal>
          <c:yVal>
            <c:numRef>
              <c:f>Data!$CB$42:$CB$59</c:f>
              <c:numCache>
                <c:formatCode>General</c:formatCode>
                <c:ptCount val="18"/>
                <c:pt idx="0">
                  <c:v>0.16621295064494471</c:v>
                </c:pt>
                <c:pt idx="3">
                  <c:v>0.17225390702208002</c:v>
                </c:pt>
                <c:pt idx="6">
                  <c:v>0.22428053059118663</c:v>
                </c:pt>
                <c:pt idx="9">
                  <c:v>0.13697406568011017</c:v>
                </c:pt>
                <c:pt idx="12">
                  <c:v>-0.10757778158427554</c:v>
                </c:pt>
                <c:pt idx="15">
                  <c:v>-0.28176731043573944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35C3-4BB1-9F00-99C56C2750E1}"/>
            </c:ext>
          </c:extLst>
        </c:ser>
        <c:ser>
          <c:idx val="12"/>
          <c:order val="8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</c:numRef>
            </c:plus>
            <c:min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Sheet2!$C$18</c:f>
              <c:numCache>
                <c:formatCode>0.00E+00</c:formatCode>
                <c:ptCount val="1"/>
                <c:pt idx="0">
                  <c:v>7500000</c:v>
                </c:pt>
              </c:numCache>
            </c:numRef>
          </c:xVal>
          <c:yVal>
            <c:numRef>
              <c:f>Sheet2!$D$18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C3-4BB1-9F00-99C56C2750E1}"/>
            </c:ext>
          </c:extLst>
        </c:ser>
        <c:ser>
          <c:idx val="13"/>
          <c:order val="9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</c:numRef>
            </c:plus>
            <c:min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Sheet2!$C$19</c:f>
              <c:numCache>
                <c:formatCode>0.00E+00</c:formatCode>
                <c:ptCount val="1"/>
                <c:pt idx="0">
                  <c:v>7700000</c:v>
                </c:pt>
              </c:numCache>
            </c:numRef>
          </c:xVal>
          <c:yVal>
            <c:numRef>
              <c:f>Sheet2!$D$19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C3-4BB1-9F00-99C56C2750E1}"/>
            </c:ext>
          </c:extLst>
        </c:ser>
        <c:ser>
          <c:idx val="14"/>
          <c:order val="10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</c:numRef>
            </c:plus>
            <c:min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Sheet2!$C$20</c:f>
              <c:numCache>
                <c:formatCode>0.00E+00</c:formatCode>
                <c:ptCount val="1"/>
                <c:pt idx="0">
                  <c:v>7900000</c:v>
                </c:pt>
              </c:numCache>
            </c:numRef>
          </c:xVal>
          <c:yVal>
            <c:numRef>
              <c:f>Sheet2!$D$20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5C3-4BB1-9F00-99C56C2750E1}"/>
            </c:ext>
          </c:extLst>
        </c:ser>
        <c:ser>
          <c:idx val="11"/>
          <c:order val="13"/>
          <c:tx>
            <c:v>NEL 38 bara 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N2 NEL'!$W$13:$W$30</c:f>
              <c:numCache>
                <c:formatCode>0.0E+00</c:formatCode>
                <c:ptCount val="18"/>
                <c:pt idx="0">
                  <c:v>3374042.9926954769</c:v>
                </c:pt>
                <c:pt idx="3">
                  <c:v>2823987.2695673234</c:v>
                </c:pt>
                <c:pt idx="6">
                  <c:v>1620957.4377295736</c:v>
                </c:pt>
                <c:pt idx="9">
                  <c:v>804711.73423819558</c:v>
                </c:pt>
                <c:pt idx="12">
                  <c:v>407768.65340377233</c:v>
                </c:pt>
                <c:pt idx="15">
                  <c:v>208264.42490755231</c:v>
                </c:pt>
              </c:numCache>
              <c:extLst xmlns:c15="http://schemas.microsoft.com/office/drawing/2012/chart"/>
            </c:numRef>
          </c:xVal>
          <c:yVal>
            <c:numRef>
              <c:f>'Data N2 NEL'!$N$13:$N$30</c:f>
              <c:numCache>
                <c:formatCode>0.000</c:formatCode>
                <c:ptCount val="18"/>
                <c:pt idx="0">
                  <c:v>0.38223570158056758</c:v>
                </c:pt>
                <c:pt idx="3">
                  <c:v>0.33152961617072191</c:v>
                </c:pt>
                <c:pt idx="6">
                  <c:v>0.26115579313967469</c:v>
                </c:pt>
                <c:pt idx="9">
                  <c:v>0.11071241530429339</c:v>
                </c:pt>
                <c:pt idx="12">
                  <c:v>-2.196888692994119E-2</c:v>
                </c:pt>
                <c:pt idx="15">
                  <c:v>-0.25623189928932377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35C3-4BB1-9F00-99C56C2750E1}"/>
            </c:ext>
          </c:extLst>
        </c:ser>
        <c:ser>
          <c:idx val="10"/>
          <c:order val="14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FORCE'!$X$13:$X$33</c:f>
              <c:numCache>
                <c:formatCode>0.0E+00</c:formatCode>
                <c:ptCount val="21"/>
                <c:pt idx="0">
                  <c:v>2666950.4797925525</c:v>
                </c:pt>
                <c:pt idx="3">
                  <c:v>2127082.3501246679</c:v>
                </c:pt>
                <c:pt idx="6">
                  <c:v>1864673.7063276784</c:v>
                </c:pt>
                <c:pt idx="9">
                  <c:v>1064146.3766690276</c:v>
                </c:pt>
                <c:pt idx="12">
                  <c:v>531166.7838418755</c:v>
                </c:pt>
                <c:pt idx="15">
                  <c:v>265000.56233661558</c:v>
                </c:pt>
                <c:pt idx="18">
                  <c:v>131257.25174763135</c:v>
                </c:pt>
              </c:numCache>
            </c:numRef>
          </c:xVal>
          <c:yVal>
            <c:numRef>
              <c:f>'Data NG FORCE'!$O$13:$O$33</c:f>
              <c:numCache>
                <c:formatCode>0.000</c:formatCode>
                <c:ptCount val="21"/>
                <c:pt idx="0">
                  <c:v>0.42825366185857977</c:v>
                </c:pt>
                <c:pt idx="3">
                  <c:v>0.38979254691660808</c:v>
                </c:pt>
                <c:pt idx="6">
                  <c:v>0.34899378566288536</c:v>
                </c:pt>
                <c:pt idx="9">
                  <c:v>0.28651018450171861</c:v>
                </c:pt>
                <c:pt idx="12">
                  <c:v>0.17438940476050149</c:v>
                </c:pt>
                <c:pt idx="15">
                  <c:v>2.0049769130124212E-2</c:v>
                </c:pt>
                <c:pt idx="18">
                  <c:v>-0.97170352645324287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AC-43C0-B8C8-DC613D7398CC}"/>
            </c:ext>
          </c:extLst>
        </c:ser>
        <c:ser>
          <c:idx val="15"/>
          <c:order val="15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FORCE'!$X$42:$X$62</c:f>
              <c:numCache>
                <c:formatCode>0.0E+00</c:formatCode>
                <c:ptCount val="21"/>
                <c:pt idx="0">
                  <c:v>1799641.7987191628</c:v>
                </c:pt>
                <c:pt idx="3">
                  <c:v>1534692.8221463149</c:v>
                </c:pt>
                <c:pt idx="6">
                  <c:v>1263079.7088702186</c:v>
                </c:pt>
                <c:pt idx="9">
                  <c:v>721256.79187173804</c:v>
                </c:pt>
                <c:pt idx="12">
                  <c:v>360292.61920569791</c:v>
                </c:pt>
                <c:pt idx="15">
                  <c:v>179708.82405566212</c:v>
                </c:pt>
                <c:pt idx="18">
                  <c:v>88974.104903636136</c:v>
                </c:pt>
              </c:numCache>
            </c:numRef>
          </c:xVal>
          <c:yVal>
            <c:numRef>
              <c:f>'Data NG FORCE'!$O$42:$O$62</c:f>
              <c:numCache>
                <c:formatCode>0.000</c:formatCode>
                <c:ptCount val="21"/>
                <c:pt idx="0">
                  <c:v>0.43169567776863449</c:v>
                </c:pt>
                <c:pt idx="3">
                  <c:v>0.34005477273344947</c:v>
                </c:pt>
                <c:pt idx="6">
                  <c:v>0.3287032184313603</c:v>
                </c:pt>
                <c:pt idx="9">
                  <c:v>0.23833452755203069</c:v>
                </c:pt>
                <c:pt idx="12">
                  <c:v>0.10902304619661007</c:v>
                </c:pt>
                <c:pt idx="15">
                  <c:v>-0.1992804791194881</c:v>
                </c:pt>
                <c:pt idx="18">
                  <c:v>-0.92230176797868557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AC-43C0-B8C8-DC613D73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11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35C3-4BB1-9F00-99C56C2750E1}"/>
                  </c:ext>
                </c:extLst>
              </c15:ser>
            </c15:filteredScatterSeries>
            <c15:filteredScatterSeries>
              <c15:ser>
                <c:idx val="9"/>
                <c:order val="12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5C3-4BB1-9F00-99C56C2750E1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8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Reynolds number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.2"/>
        <c:crossBetween val="midCat"/>
      </c:valAx>
      <c:valAx>
        <c:axId val="9823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Volume Error</a:t>
            </a:r>
            <a:r>
              <a:rPr lang="en-GB" sz="1800" baseline="0"/>
              <a:t> for 4</a:t>
            </a:r>
            <a:r>
              <a:rPr lang="en-GB" sz="1800"/>
              <a:t>-inch turbine - 31 bara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Data!$W$13:$W$30</c:f>
              <c:numCache>
                <c:formatCode>0.0E+00</c:formatCode>
                <c:ptCount val="18"/>
                <c:pt idx="0">
                  <c:v>6382062.5988686234</c:v>
                </c:pt>
                <c:pt idx="3">
                  <c:v>4463186.6971721873</c:v>
                </c:pt>
                <c:pt idx="6">
                  <c:v>2557302.8664934267</c:v>
                </c:pt>
                <c:pt idx="9">
                  <c:v>1285436.4355013398</c:v>
                </c:pt>
                <c:pt idx="12">
                  <c:v>644310.69598909991</c:v>
                </c:pt>
                <c:pt idx="15">
                  <c:v>325275.47097814031</c:v>
                </c:pt>
              </c:numCache>
              <c:extLst xmlns:c15="http://schemas.microsoft.com/office/drawing/2012/chart"/>
            </c:numRef>
          </c:xVal>
          <c:yVal>
            <c:numRef>
              <c:f>Data!$N$13:$N$30</c:f>
              <c:numCache>
                <c:formatCode>0.000</c:formatCode>
                <c:ptCount val="18"/>
                <c:pt idx="0">
                  <c:v>0.43579130479356598</c:v>
                </c:pt>
                <c:pt idx="3">
                  <c:v>0.40697778375648092</c:v>
                </c:pt>
                <c:pt idx="6">
                  <c:v>0.32783609891621163</c:v>
                </c:pt>
                <c:pt idx="9">
                  <c:v>0.24072246388204929</c:v>
                </c:pt>
                <c:pt idx="12">
                  <c:v>0.12934529719152221</c:v>
                </c:pt>
                <c:pt idx="15">
                  <c:v>0.28659242544871238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C2E-406C-B23A-A100567CE84D}"/>
            </c:ext>
          </c:extLst>
        </c:ser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Data!$AT$13:$AT$30</c:f>
              <c:numCache>
                <c:formatCode>0.0E+00</c:formatCode>
                <c:ptCount val="18"/>
                <c:pt idx="0">
                  <c:v>5013679.1790019386</c:v>
                </c:pt>
                <c:pt idx="3">
                  <c:v>4385119.678611164</c:v>
                </c:pt>
                <c:pt idx="6">
                  <c:v>2511930.8241180461</c:v>
                </c:pt>
                <c:pt idx="9">
                  <c:v>1255520.1156903945</c:v>
                </c:pt>
                <c:pt idx="12">
                  <c:v>628850.3923848283</c:v>
                </c:pt>
              </c:numCache>
              <c:extLst xmlns:c15="http://schemas.microsoft.com/office/drawing/2012/chart"/>
            </c:numRef>
          </c:xVal>
          <c:yVal>
            <c:numRef>
              <c:f>Data!$AK$13:$AK$30</c:f>
              <c:numCache>
                <c:formatCode>0.000</c:formatCode>
                <c:ptCount val="18"/>
                <c:pt idx="0">
                  <c:v>2.9001824808290898E-2</c:v>
                </c:pt>
                <c:pt idx="3">
                  <c:v>0.15409850324290753</c:v>
                </c:pt>
                <c:pt idx="6">
                  <c:v>0.33823849701295677</c:v>
                </c:pt>
                <c:pt idx="9">
                  <c:v>0.30164187849878865</c:v>
                </c:pt>
                <c:pt idx="12">
                  <c:v>0.15079639053427374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AC2E-406C-B23A-A100567CE84D}"/>
            </c:ext>
          </c:extLst>
        </c:ser>
        <c:ser>
          <c:idx val="7"/>
          <c:order val="2"/>
          <c:tx>
            <c:v>DNV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Data!$BP$13:$BP$30</c:f>
              <c:numCache>
                <c:formatCode>0.0E+00</c:formatCode>
                <c:ptCount val="18"/>
                <c:pt idx="0">
                  <c:v>5761967.6687396728</c:v>
                </c:pt>
                <c:pt idx="3">
                  <c:v>4258214.5404843315</c:v>
                </c:pt>
                <c:pt idx="6">
                  <c:v>2524249.1273759622</c:v>
                </c:pt>
                <c:pt idx="9">
                  <c:v>1326328.3567390884</c:v>
                </c:pt>
                <c:pt idx="12">
                  <c:v>547381.41043593478</c:v>
                </c:pt>
                <c:pt idx="15">
                  <c:v>392152.01406937069</c:v>
                </c:pt>
              </c:numCache>
              <c:extLst xmlns:c15="http://schemas.microsoft.com/office/drawing/2012/chart"/>
            </c:numRef>
          </c:xVal>
          <c:yVal>
            <c:numRef>
              <c:f>Data!$BG$13:$BG$30</c:f>
              <c:numCache>
                <c:formatCode>0.000</c:formatCode>
                <c:ptCount val="18"/>
                <c:pt idx="0">
                  <c:v>0.10389816107058951</c:v>
                </c:pt>
                <c:pt idx="3">
                  <c:v>8.3696180521957861E-2</c:v>
                </c:pt>
                <c:pt idx="6">
                  <c:v>0.11521024833533894</c:v>
                </c:pt>
                <c:pt idx="9">
                  <c:v>1.4191445859336345E-3</c:v>
                </c:pt>
                <c:pt idx="12">
                  <c:v>-0.44060445039733981</c:v>
                </c:pt>
                <c:pt idx="15">
                  <c:v>-0.5081838211596067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AC2E-406C-B23A-A100567CE84D}"/>
            </c:ext>
          </c:extLst>
        </c:ser>
        <c:ser>
          <c:idx val="2"/>
          <c:order val="6"/>
          <c:tx>
            <c:v>KCRV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Data!$BZ$13:$BZ$30</c:f>
              <c:numCache>
                <c:formatCode>0.00E+00</c:formatCode>
                <c:ptCount val="18"/>
                <c:pt idx="0">
                  <c:v>5719236.4822034119</c:v>
                </c:pt>
                <c:pt idx="3">
                  <c:v>4368840.3054225603</c:v>
                </c:pt>
                <c:pt idx="6">
                  <c:v>2531160.939329145</c:v>
                </c:pt>
                <c:pt idx="9">
                  <c:v>1289094.9693102741</c:v>
                </c:pt>
                <c:pt idx="12">
                  <c:v>606847.49960328767</c:v>
                </c:pt>
                <c:pt idx="15">
                  <c:v>358713.74252375553</c:v>
                </c:pt>
              </c:numCache>
              <c:extLst xmlns:c15="http://schemas.microsoft.com/office/drawing/2012/chart"/>
            </c:numRef>
          </c:xVal>
          <c:yVal>
            <c:numRef>
              <c:f>Data!$CB$13:$CB$30</c:f>
              <c:numCache>
                <c:formatCode>General</c:formatCode>
                <c:ptCount val="18"/>
                <c:pt idx="0">
                  <c:v>9.5058977573553069E-2</c:v>
                </c:pt>
                <c:pt idx="3">
                  <c:v>0.16001347586663897</c:v>
                </c:pt>
                <c:pt idx="6">
                  <c:v>0.27643703621334964</c:v>
                </c:pt>
                <c:pt idx="9">
                  <c:v>0.23830976925658784</c:v>
                </c:pt>
                <c:pt idx="12">
                  <c:v>-1.5789448759385181E-2</c:v>
                </c:pt>
                <c:pt idx="15">
                  <c:v>-0.29191200309168475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AC2E-406C-B23A-A100567CE84D}"/>
            </c:ext>
          </c:extLst>
        </c:ser>
        <c:ser>
          <c:idx val="12"/>
          <c:order val="8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Sheet2!$C$18</c:f>
              <c:numCache>
                <c:formatCode>0.00E+00</c:formatCode>
                <c:ptCount val="1"/>
                <c:pt idx="0">
                  <c:v>7500000</c:v>
                </c:pt>
              </c:numCache>
              <c:extLst xmlns:c15="http://schemas.microsoft.com/office/drawing/2012/chart"/>
            </c:numRef>
          </c:xVal>
          <c:yVal>
            <c:numRef>
              <c:f>Sheet2!$D$18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C2E-406C-B23A-A100567CE84D}"/>
            </c:ext>
          </c:extLst>
        </c:ser>
        <c:ser>
          <c:idx val="13"/>
          <c:order val="9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Sheet2!$C$19</c:f>
              <c:numCache>
                <c:formatCode>0.00E+00</c:formatCode>
                <c:ptCount val="1"/>
                <c:pt idx="0">
                  <c:v>7700000</c:v>
                </c:pt>
              </c:numCache>
              <c:extLst xmlns:c15="http://schemas.microsoft.com/office/drawing/2012/chart"/>
            </c:numRef>
          </c:xVal>
          <c:yVal>
            <c:numRef>
              <c:f>Sheet2!$D$19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C2E-406C-B23A-A100567CE84D}"/>
            </c:ext>
          </c:extLst>
        </c:ser>
        <c:ser>
          <c:idx val="14"/>
          <c:order val="10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Sheet2!$C$20</c:f>
              <c:numCache>
                <c:formatCode>0.00E+00</c:formatCode>
                <c:ptCount val="1"/>
                <c:pt idx="0">
                  <c:v>7900000</c:v>
                </c:pt>
              </c:numCache>
              <c:extLst xmlns:c15="http://schemas.microsoft.com/office/drawing/2012/chart"/>
            </c:numRef>
          </c:xVal>
          <c:yVal>
            <c:numRef>
              <c:f>Sheet2!$D$20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C2E-406C-B23A-A100567C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NEL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rgbClr val="00B0F0"/>
                    </a:solidFill>
                    <a:ln w="63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Data!$W$42:$W$59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4076958.4785632435</c:v>
                      </c:pt>
                      <c:pt idx="3">
                        <c:v>2855489.02647705</c:v>
                      </c:pt>
                      <c:pt idx="6">
                        <c:v>1637088.3352514068</c:v>
                      </c:pt>
                      <c:pt idx="9">
                        <c:v>818088.88639224798</c:v>
                      </c:pt>
                      <c:pt idx="12">
                        <c:v>413400.74053245736</c:v>
                      </c:pt>
                      <c:pt idx="15">
                        <c:v>213135.71484477699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Data!$N$42:$N$59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0.44502175912248237</c:v>
                      </c:pt>
                      <c:pt idx="3">
                        <c:v>0.41398044548205309</c:v>
                      </c:pt>
                      <c:pt idx="6">
                        <c:v>0.28713577269880214</c:v>
                      </c:pt>
                      <c:pt idx="9">
                        <c:v>-2.9358656092819069E-2</c:v>
                      </c:pt>
                      <c:pt idx="12">
                        <c:v>-0.23236077015275747</c:v>
                      </c:pt>
                      <c:pt idx="15">
                        <c:v>-0.26579964572501835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AC2E-406C-B23A-A100567CE84D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Force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Data!$AT$42:$AT$59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3342471.453523559</c:v>
                      </c:pt>
                      <c:pt idx="3">
                        <c:v>2751095.9861161872</c:v>
                      </c:pt>
                      <c:pt idx="6">
                        <c:v>1573955.8968032803</c:v>
                      </c:pt>
                      <c:pt idx="9">
                        <c:v>798146.85017852217</c:v>
                      </c:pt>
                      <c:pt idx="12">
                        <c:v>398954.23740763147</c:v>
                      </c:pt>
                      <c:pt idx="15">
                        <c:v>198924.78078131346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Data!$AK$42:$AK$59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0.18178136735812267</c:v>
                      </c:pt>
                      <c:pt idx="3">
                        <c:v>0.17860847738316907</c:v>
                      </c:pt>
                      <c:pt idx="6">
                        <c:v>0.25672934375865303</c:v>
                      </c:pt>
                      <c:pt idx="9">
                        <c:v>0.26599050468995439</c:v>
                      </c:pt>
                      <c:pt idx="12">
                        <c:v>0.14389497569375292</c:v>
                      </c:pt>
                      <c:pt idx="15">
                        <c:v>-6.1547913949535682E-2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C2E-406C-B23A-A100567CE84D}"/>
                  </c:ext>
                </c:extLst>
              </c15:ser>
            </c15:filteredScatterSeries>
            <c15:filteredScatterSeries>
              <c15:ser>
                <c:idx val="6"/>
                <c:order val="5"/>
                <c:tx>
                  <c:v>DNV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Data!$BP$42:$BP$59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4172588.2835406363</c:v>
                      </c:pt>
                      <c:pt idx="3">
                        <c:v>3174560.6915504504</c:v>
                      </c:pt>
                      <c:pt idx="6">
                        <c:v>1911519.258759809</c:v>
                      </c:pt>
                      <c:pt idx="9">
                        <c:v>1019901.3993886675</c:v>
                      </c:pt>
                      <c:pt idx="12">
                        <c:v>413044.0045647361</c:v>
                      </c:pt>
                      <c:pt idx="15">
                        <c:v>293929.6533173513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Data!$BG$42:$BG$59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-3.9621506756552559E-3</c:v>
                      </c:pt>
                      <c:pt idx="3">
                        <c:v>6.2425648177725897E-2</c:v>
                      </c:pt>
                      <c:pt idx="6">
                        <c:v>0.1309125745884186</c:v>
                      </c:pt>
                      <c:pt idx="9">
                        <c:v>-8.4623813371603671E-2</c:v>
                      </c:pt>
                      <c:pt idx="12">
                        <c:v>-0.65561054609638714</c:v>
                      </c:pt>
                      <c:pt idx="15">
                        <c:v>-0.81791124822614414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C2E-406C-B23A-A100567CE84D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Data!$BZ$42:$BZ$59</c15:sqref>
                        </c15:formulaRef>
                      </c:ext>
                    </c:extLst>
                    <c:numCache>
                      <c:formatCode>0.00E+00</c:formatCode>
                      <c:ptCount val="18"/>
                      <c:pt idx="0">
                        <c:v>3864006.071875813</c:v>
                      </c:pt>
                      <c:pt idx="3">
                        <c:v>2927048.568047896</c:v>
                      </c:pt>
                      <c:pt idx="6">
                        <c:v>1707521.163604832</c:v>
                      </c:pt>
                      <c:pt idx="9">
                        <c:v>878712.37865314586</c:v>
                      </c:pt>
                      <c:pt idx="12">
                        <c:v>408466.32750160829</c:v>
                      </c:pt>
                      <c:pt idx="15">
                        <c:v>235330.0496478139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Data!$CB$42:$CB$59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0.16621295064494471</c:v>
                      </c:pt>
                      <c:pt idx="3">
                        <c:v>0.17225390702208002</c:v>
                      </c:pt>
                      <c:pt idx="6">
                        <c:v>0.22428053059118663</c:v>
                      </c:pt>
                      <c:pt idx="9">
                        <c:v>0.13697406568011017</c:v>
                      </c:pt>
                      <c:pt idx="12">
                        <c:v>-0.10757778158427554</c:v>
                      </c:pt>
                      <c:pt idx="15">
                        <c:v>-0.28176731043573944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C2E-406C-B23A-A100567CE84D}"/>
                  </c:ext>
                </c:extLst>
              </c15:ser>
            </c15:filteredScatterSeries>
            <c15:filteredScatterSeries>
              <c15:ser>
                <c:idx val="8"/>
                <c:order val="11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C2E-406C-B23A-A100567CE84D}"/>
                  </c:ext>
                </c:extLst>
              </c15:ser>
            </c15:filteredScatterSeries>
            <c15:filteredScatterSeries>
              <c15:ser>
                <c:idx val="9"/>
                <c:order val="12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C2E-406C-B23A-A100567CE84D}"/>
                  </c:ext>
                </c:extLst>
              </c15:ser>
            </c15:filteredScatterSeries>
            <c15:filteredScatterSeries>
              <c15:ser>
                <c:idx val="11"/>
                <c:order val="13"/>
                <c:tx>
                  <c:v>NEL 38 bara N2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rgbClr val="FF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N2 NEL'!$W$13:$W$30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3374042.9926954769</c:v>
                      </c:pt>
                      <c:pt idx="3">
                        <c:v>2823987.2695673234</c:v>
                      </c:pt>
                      <c:pt idx="6">
                        <c:v>1620957.4377295736</c:v>
                      </c:pt>
                      <c:pt idx="9">
                        <c:v>804711.73423819558</c:v>
                      </c:pt>
                      <c:pt idx="12">
                        <c:v>407768.65340377233</c:v>
                      </c:pt>
                      <c:pt idx="15">
                        <c:v>208264.42490755231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N2 NEL'!$N$13:$N$30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0.38223570158056758</c:v>
                      </c:pt>
                      <c:pt idx="3">
                        <c:v>0.33152961617072191</c:v>
                      </c:pt>
                      <c:pt idx="6">
                        <c:v>0.26115579313967469</c:v>
                      </c:pt>
                      <c:pt idx="9">
                        <c:v>0.11071241530429339</c:v>
                      </c:pt>
                      <c:pt idx="12">
                        <c:v>-2.196888692994119E-2</c:v>
                      </c:pt>
                      <c:pt idx="15">
                        <c:v>-0.25623189928932377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C2E-406C-B23A-A100567CE84D}"/>
                  </c:ext>
                </c:extLst>
              </c15:ser>
            </c15:filteredScatterSeries>
            <c15:filteredScatterSeries>
              <c15:ser>
                <c:idx val="10"/>
                <c:order val="14"/>
                <c:tx>
                  <c:v>FORCE 31 bara NG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6"/>
                  <c:spPr>
                    <a:noFill/>
                    <a:ln w="222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FORCE'!$X$13:$X$33</c15:sqref>
                        </c15:formulaRef>
                      </c:ext>
                    </c:extLst>
                    <c:numCache>
                      <c:formatCode>0.0E+00</c:formatCode>
                      <c:ptCount val="21"/>
                      <c:pt idx="0">
                        <c:v>2666950.4797925525</c:v>
                      </c:pt>
                      <c:pt idx="3">
                        <c:v>2127082.3501246679</c:v>
                      </c:pt>
                      <c:pt idx="6">
                        <c:v>1864673.7063276784</c:v>
                      </c:pt>
                      <c:pt idx="9">
                        <c:v>1064146.3766690276</c:v>
                      </c:pt>
                      <c:pt idx="12">
                        <c:v>531166.7838418755</c:v>
                      </c:pt>
                      <c:pt idx="15">
                        <c:v>265000.56233661558</c:v>
                      </c:pt>
                      <c:pt idx="18">
                        <c:v>131257.25174763135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FORCE'!$O$13:$O$33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0.42825366185857977</c:v>
                      </c:pt>
                      <c:pt idx="3">
                        <c:v>0.38979254691660808</c:v>
                      </c:pt>
                      <c:pt idx="6">
                        <c:v>0.34899378566288536</c:v>
                      </c:pt>
                      <c:pt idx="9">
                        <c:v>0.28651018450171861</c:v>
                      </c:pt>
                      <c:pt idx="12">
                        <c:v>0.17438940476050149</c:v>
                      </c:pt>
                      <c:pt idx="15">
                        <c:v>2.0049769130124212E-2</c:v>
                      </c:pt>
                      <c:pt idx="18">
                        <c:v>-0.97170352645324287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C2E-406C-B23A-A100567CE84D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FORCE 21 bara NG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tar"/>
                  <c:size val="7"/>
                  <c:spPr>
                    <a:noFill/>
                    <a:ln w="222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FORCE'!$X$42:$X$62</c15:sqref>
                        </c15:formulaRef>
                      </c:ext>
                    </c:extLst>
                    <c:numCache>
                      <c:formatCode>0.0E+00</c:formatCode>
                      <c:ptCount val="21"/>
                      <c:pt idx="0">
                        <c:v>1799641.7987191628</c:v>
                      </c:pt>
                      <c:pt idx="3">
                        <c:v>1534692.8221463149</c:v>
                      </c:pt>
                      <c:pt idx="6">
                        <c:v>1263079.7088702186</c:v>
                      </c:pt>
                      <c:pt idx="9">
                        <c:v>721256.79187173804</c:v>
                      </c:pt>
                      <c:pt idx="12">
                        <c:v>360292.61920569791</c:v>
                      </c:pt>
                      <c:pt idx="15">
                        <c:v>179708.82405566212</c:v>
                      </c:pt>
                      <c:pt idx="18">
                        <c:v>88974.104903636136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FORCE'!$O$42:$O$62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0.43169567776863449</c:v>
                      </c:pt>
                      <c:pt idx="3">
                        <c:v>0.34005477273344947</c:v>
                      </c:pt>
                      <c:pt idx="6">
                        <c:v>0.3287032184313603</c:v>
                      </c:pt>
                      <c:pt idx="9">
                        <c:v>0.23833452755203069</c:v>
                      </c:pt>
                      <c:pt idx="12">
                        <c:v>0.10902304619661007</c:v>
                      </c:pt>
                      <c:pt idx="15">
                        <c:v>-0.1992804791194881</c:v>
                      </c:pt>
                      <c:pt idx="18">
                        <c:v>-0.92230176797868557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C2E-406C-B23A-A100567CE84D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8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Reynolds number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.2"/>
        <c:crossBetween val="midCat"/>
      </c:valAx>
      <c:valAx>
        <c:axId val="982349760"/>
        <c:scaling>
          <c:orientation val="minMax"/>
          <c:max val="0.60000000000000009"/>
          <c:min val="-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Volume Error</a:t>
            </a:r>
            <a:r>
              <a:rPr lang="en-GB" sz="1800" baseline="0"/>
              <a:t> for 4</a:t>
            </a:r>
            <a:r>
              <a:rPr lang="en-GB" sz="1800"/>
              <a:t>-inch turbine - 21 bara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Data!$W$42:$W$59</c:f>
              <c:numCache>
                <c:formatCode>0.0E+00</c:formatCode>
                <c:ptCount val="18"/>
                <c:pt idx="0">
                  <c:v>4076958.4785632435</c:v>
                </c:pt>
                <c:pt idx="3">
                  <c:v>2855489.02647705</c:v>
                </c:pt>
                <c:pt idx="6">
                  <c:v>1637088.3352514068</c:v>
                </c:pt>
                <c:pt idx="9">
                  <c:v>818088.88639224798</c:v>
                </c:pt>
                <c:pt idx="12">
                  <c:v>413400.74053245736</c:v>
                </c:pt>
                <c:pt idx="15">
                  <c:v>213135.71484477699</c:v>
                </c:pt>
              </c:numCache>
              <c:extLst xmlns:c15="http://schemas.microsoft.com/office/drawing/2012/chart"/>
            </c:numRef>
          </c:xVal>
          <c:yVal>
            <c:numRef>
              <c:f>Data!$N$42:$N$59</c:f>
              <c:numCache>
                <c:formatCode>0.000</c:formatCode>
                <c:ptCount val="18"/>
                <c:pt idx="0">
                  <c:v>0.44502175912248237</c:v>
                </c:pt>
                <c:pt idx="3">
                  <c:v>0.41398044548205309</c:v>
                </c:pt>
                <c:pt idx="6">
                  <c:v>0.28713577269880214</c:v>
                </c:pt>
                <c:pt idx="9">
                  <c:v>-2.9358656092819069E-2</c:v>
                </c:pt>
                <c:pt idx="12">
                  <c:v>-0.23236077015275747</c:v>
                </c:pt>
                <c:pt idx="15">
                  <c:v>-0.26579964572501835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2717-40D5-9E23-3E9E766C45E7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Data!$AT$42:$AT$59</c:f>
              <c:numCache>
                <c:formatCode>0.0E+00</c:formatCode>
                <c:ptCount val="18"/>
                <c:pt idx="0">
                  <c:v>3342471.453523559</c:v>
                </c:pt>
                <c:pt idx="3">
                  <c:v>2751095.9861161872</c:v>
                </c:pt>
                <c:pt idx="6">
                  <c:v>1573955.8968032803</c:v>
                </c:pt>
                <c:pt idx="9">
                  <c:v>798146.85017852217</c:v>
                </c:pt>
                <c:pt idx="12">
                  <c:v>398954.23740763147</c:v>
                </c:pt>
                <c:pt idx="15">
                  <c:v>198924.78078131346</c:v>
                </c:pt>
              </c:numCache>
              <c:extLst xmlns:c15="http://schemas.microsoft.com/office/drawing/2012/chart"/>
            </c:numRef>
          </c:xVal>
          <c:yVal>
            <c:numRef>
              <c:f>Data!$AK$42:$AK$59</c:f>
              <c:numCache>
                <c:formatCode>0.000</c:formatCode>
                <c:ptCount val="18"/>
                <c:pt idx="0">
                  <c:v>0.18178136735812267</c:v>
                </c:pt>
                <c:pt idx="3">
                  <c:v>0.17860847738316907</c:v>
                </c:pt>
                <c:pt idx="6">
                  <c:v>0.25672934375865303</c:v>
                </c:pt>
                <c:pt idx="9">
                  <c:v>0.26599050468995439</c:v>
                </c:pt>
                <c:pt idx="12">
                  <c:v>0.14389497569375292</c:v>
                </c:pt>
                <c:pt idx="15">
                  <c:v>-6.1547913949535682E-2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2717-40D5-9E23-3E9E766C45E7}"/>
            </c:ext>
          </c:extLst>
        </c:ser>
        <c:ser>
          <c:idx val="6"/>
          <c:order val="5"/>
          <c:tx>
            <c:v>DNV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Data!$BP$42:$BP$59</c:f>
              <c:numCache>
                <c:formatCode>0.0E+00</c:formatCode>
                <c:ptCount val="18"/>
                <c:pt idx="0">
                  <c:v>4172588.2835406363</c:v>
                </c:pt>
                <c:pt idx="3">
                  <c:v>3174560.6915504504</c:v>
                </c:pt>
                <c:pt idx="6">
                  <c:v>1911519.258759809</c:v>
                </c:pt>
                <c:pt idx="9">
                  <c:v>1019901.3993886675</c:v>
                </c:pt>
                <c:pt idx="12">
                  <c:v>413044.0045647361</c:v>
                </c:pt>
                <c:pt idx="15">
                  <c:v>293929.6533173513</c:v>
                </c:pt>
              </c:numCache>
              <c:extLst xmlns:c15="http://schemas.microsoft.com/office/drawing/2012/chart"/>
            </c:numRef>
          </c:xVal>
          <c:yVal>
            <c:numRef>
              <c:f>Data!$BG$42:$BG$59</c:f>
              <c:numCache>
                <c:formatCode>0.000</c:formatCode>
                <c:ptCount val="18"/>
                <c:pt idx="0">
                  <c:v>-3.9621506756552559E-3</c:v>
                </c:pt>
                <c:pt idx="3">
                  <c:v>6.2425648177725897E-2</c:v>
                </c:pt>
                <c:pt idx="6">
                  <c:v>0.1309125745884186</c:v>
                </c:pt>
                <c:pt idx="9">
                  <c:v>-8.4623813371603671E-2</c:v>
                </c:pt>
                <c:pt idx="12">
                  <c:v>-0.65561054609638714</c:v>
                </c:pt>
                <c:pt idx="15">
                  <c:v>-0.81791124822614414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717-40D5-9E23-3E9E766C45E7}"/>
            </c:ext>
          </c:extLst>
        </c:ser>
        <c:ser>
          <c:idx val="5"/>
          <c:order val="7"/>
          <c:tx>
            <c:v>KRVC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xVal>
            <c:numRef>
              <c:f>Data!$BZ$42:$BZ$59</c:f>
              <c:numCache>
                <c:formatCode>0.00E+00</c:formatCode>
                <c:ptCount val="18"/>
                <c:pt idx="0">
                  <c:v>3864006.071875813</c:v>
                </c:pt>
                <c:pt idx="3">
                  <c:v>2927048.568047896</c:v>
                </c:pt>
                <c:pt idx="6">
                  <c:v>1707521.163604832</c:v>
                </c:pt>
                <c:pt idx="9">
                  <c:v>878712.37865314586</c:v>
                </c:pt>
                <c:pt idx="12">
                  <c:v>408466.32750160829</c:v>
                </c:pt>
                <c:pt idx="15">
                  <c:v>235330.0496478139</c:v>
                </c:pt>
              </c:numCache>
              <c:extLst xmlns:c15="http://schemas.microsoft.com/office/drawing/2012/chart"/>
            </c:numRef>
          </c:xVal>
          <c:yVal>
            <c:numRef>
              <c:f>Data!$CB$42:$CB$59</c:f>
              <c:numCache>
                <c:formatCode>General</c:formatCode>
                <c:ptCount val="18"/>
                <c:pt idx="0">
                  <c:v>0.16621295064494471</c:v>
                </c:pt>
                <c:pt idx="3">
                  <c:v>0.17225390702208002</c:v>
                </c:pt>
                <c:pt idx="6">
                  <c:v>0.22428053059118663</c:v>
                </c:pt>
                <c:pt idx="9">
                  <c:v>0.13697406568011017</c:v>
                </c:pt>
                <c:pt idx="12">
                  <c:v>-0.10757778158427554</c:v>
                </c:pt>
                <c:pt idx="15">
                  <c:v>-0.28176731043573944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717-40D5-9E23-3E9E766C45E7}"/>
            </c:ext>
          </c:extLst>
        </c:ser>
        <c:ser>
          <c:idx val="12"/>
          <c:order val="8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Sheet2!$C$18</c:f>
              <c:numCache>
                <c:formatCode>0.00E+00</c:formatCode>
                <c:ptCount val="1"/>
                <c:pt idx="0">
                  <c:v>7500000</c:v>
                </c:pt>
              </c:numCache>
              <c:extLst xmlns:c15="http://schemas.microsoft.com/office/drawing/2012/chart"/>
            </c:numRef>
          </c:xVal>
          <c:yVal>
            <c:numRef>
              <c:f>Sheet2!$D$18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717-40D5-9E23-3E9E766C45E7}"/>
            </c:ext>
          </c:extLst>
        </c:ser>
        <c:ser>
          <c:idx val="13"/>
          <c:order val="9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Sheet2!$C$19</c:f>
              <c:numCache>
                <c:formatCode>0.00E+00</c:formatCode>
                <c:ptCount val="1"/>
                <c:pt idx="0">
                  <c:v>7700000</c:v>
                </c:pt>
              </c:numCache>
              <c:extLst xmlns:c15="http://schemas.microsoft.com/office/drawing/2012/chart"/>
            </c:numRef>
          </c:xVal>
          <c:yVal>
            <c:numRef>
              <c:f>Sheet2!$D$19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2717-40D5-9E23-3E9E766C45E7}"/>
            </c:ext>
          </c:extLst>
        </c:ser>
        <c:ser>
          <c:idx val="14"/>
          <c:order val="10"/>
          <c:tx>
            <c:v>DNV Unc.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Data!$BM$9</c:f>
                <c:numCache>
                  <c:formatCode>General</c:formatCode>
                  <c:ptCount val="1"/>
                  <c:pt idx="0">
                    <c:v>0.23395912494736884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Sheet2!$C$20</c:f>
              <c:numCache>
                <c:formatCode>0.00E+00</c:formatCode>
                <c:ptCount val="1"/>
                <c:pt idx="0">
                  <c:v>7900000</c:v>
                </c:pt>
              </c:numCache>
              <c:extLst xmlns:c15="http://schemas.microsoft.com/office/drawing/2012/chart"/>
            </c:numRef>
          </c:xVal>
          <c:yVal>
            <c:numRef>
              <c:f>Sheet2!$D$20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2717-40D5-9E23-3E9E766C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NEL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rgbClr val="00B0F0"/>
                    </a:solidFill>
                    <a:ln w="63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Data!$W$13:$W$30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6382062.5988686234</c:v>
                      </c:pt>
                      <c:pt idx="3">
                        <c:v>4463186.6971721873</c:v>
                      </c:pt>
                      <c:pt idx="6">
                        <c:v>2557302.8664934267</c:v>
                      </c:pt>
                      <c:pt idx="9">
                        <c:v>1285436.4355013398</c:v>
                      </c:pt>
                      <c:pt idx="12">
                        <c:v>644310.69598909991</c:v>
                      </c:pt>
                      <c:pt idx="15">
                        <c:v>325275.47097814031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Data!$N$13:$N$30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0.43579130479356598</c:v>
                      </c:pt>
                      <c:pt idx="3">
                        <c:v>0.40697778375648092</c:v>
                      </c:pt>
                      <c:pt idx="6">
                        <c:v>0.32783609891621163</c:v>
                      </c:pt>
                      <c:pt idx="9">
                        <c:v>0.24072246388204929</c:v>
                      </c:pt>
                      <c:pt idx="12">
                        <c:v>0.12934529719152221</c:v>
                      </c:pt>
                      <c:pt idx="15">
                        <c:v>0.28659242544871238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2717-40D5-9E23-3E9E766C45E7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Force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Data!$AT$13:$AT$30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5013679.1790019386</c:v>
                      </c:pt>
                      <c:pt idx="3">
                        <c:v>4385119.678611164</c:v>
                      </c:pt>
                      <c:pt idx="6">
                        <c:v>2511930.8241180461</c:v>
                      </c:pt>
                      <c:pt idx="9">
                        <c:v>1255520.1156903945</c:v>
                      </c:pt>
                      <c:pt idx="12">
                        <c:v>628850.3923848283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Data!$AK$13:$AK$30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2.9001824808290898E-2</c:v>
                      </c:pt>
                      <c:pt idx="3">
                        <c:v>0.15409850324290753</c:v>
                      </c:pt>
                      <c:pt idx="6">
                        <c:v>0.33823849701295677</c:v>
                      </c:pt>
                      <c:pt idx="9">
                        <c:v>0.30164187849878865</c:v>
                      </c:pt>
                      <c:pt idx="12">
                        <c:v>0.15079639053427374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17-40D5-9E23-3E9E766C45E7}"/>
                  </c:ext>
                </c:extLst>
              </c15:ser>
            </c15:filteredScatterSeries>
            <c15:filteredScatterSeries>
              <c15:ser>
                <c:idx val="7"/>
                <c:order val="2"/>
                <c:tx>
                  <c:v>DNV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Data!$BP$13:$BP$30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5761967.6687396728</c:v>
                      </c:pt>
                      <c:pt idx="3">
                        <c:v>4258214.5404843315</c:v>
                      </c:pt>
                      <c:pt idx="6">
                        <c:v>2524249.1273759622</c:v>
                      </c:pt>
                      <c:pt idx="9">
                        <c:v>1326328.3567390884</c:v>
                      </c:pt>
                      <c:pt idx="12">
                        <c:v>547381.41043593478</c:v>
                      </c:pt>
                      <c:pt idx="15">
                        <c:v>392152.01406937069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Data!$BG$13:$BG$30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0.10389816107058951</c:v>
                      </c:pt>
                      <c:pt idx="3">
                        <c:v>8.3696180521957861E-2</c:v>
                      </c:pt>
                      <c:pt idx="6">
                        <c:v>0.11521024833533894</c:v>
                      </c:pt>
                      <c:pt idx="9">
                        <c:v>1.4191445859336345E-3</c:v>
                      </c:pt>
                      <c:pt idx="12">
                        <c:v>-0.44060445039733981</c:v>
                      </c:pt>
                      <c:pt idx="15">
                        <c:v>-0.5081838211596067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17-40D5-9E23-3E9E766C45E7}"/>
                  </c:ext>
                </c:extLst>
              </c15:ser>
            </c15:filteredScatterSeries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Data!$BZ$13:$BZ$30</c15:sqref>
                        </c15:formulaRef>
                      </c:ext>
                    </c:extLst>
                    <c:numCache>
                      <c:formatCode>0.00E+00</c:formatCode>
                      <c:ptCount val="18"/>
                      <c:pt idx="0">
                        <c:v>5719236.4822034119</c:v>
                      </c:pt>
                      <c:pt idx="3">
                        <c:v>4368840.3054225603</c:v>
                      </c:pt>
                      <c:pt idx="6">
                        <c:v>2531160.939329145</c:v>
                      </c:pt>
                      <c:pt idx="9">
                        <c:v>1289094.9693102741</c:v>
                      </c:pt>
                      <c:pt idx="12">
                        <c:v>606847.49960328767</c:v>
                      </c:pt>
                      <c:pt idx="15">
                        <c:v>358713.74252375553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Data!$CB$13:$CB$30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9.5058977573553069E-2</c:v>
                      </c:pt>
                      <c:pt idx="3">
                        <c:v>0.16001347586663897</c:v>
                      </c:pt>
                      <c:pt idx="6">
                        <c:v>0.27643703621334964</c:v>
                      </c:pt>
                      <c:pt idx="9">
                        <c:v>0.23830976925658784</c:v>
                      </c:pt>
                      <c:pt idx="12">
                        <c:v>-1.5789448759385181E-2</c:v>
                      </c:pt>
                      <c:pt idx="15">
                        <c:v>-0.29191200309168475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17-40D5-9E23-3E9E766C45E7}"/>
                  </c:ext>
                </c:extLst>
              </c15:ser>
            </c15:filteredScatterSeries>
            <c15:filteredScatterSeries>
              <c15:ser>
                <c:idx val="8"/>
                <c:order val="11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17-40D5-9E23-3E9E766C45E7}"/>
                  </c:ext>
                </c:extLst>
              </c15:ser>
            </c15:filteredScatterSeries>
            <c15:filteredScatterSeries>
              <c15:ser>
                <c:idx val="9"/>
                <c:order val="12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17-40D5-9E23-3E9E766C45E7}"/>
                  </c:ext>
                </c:extLst>
              </c15:ser>
            </c15:filteredScatterSeries>
            <c15:filteredScatterSeries>
              <c15:ser>
                <c:idx val="11"/>
                <c:order val="13"/>
                <c:tx>
                  <c:v>NEL 38 bara N2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rgbClr val="FF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N2 NEL'!$W$13:$W$30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3374042.9926954769</c:v>
                      </c:pt>
                      <c:pt idx="3">
                        <c:v>2823987.2695673234</c:v>
                      </c:pt>
                      <c:pt idx="6">
                        <c:v>1620957.4377295736</c:v>
                      </c:pt>
                      <c:pt idx="9">
                        <c:v>804711.73423819558</c:v>
                      </c:pt>
                      <c:pt idx="12">
                        <c:v>407768.65340377233</c:v>
                      </c:pt>
                      <c:pt idx="15">
                        <c:v>208264.42490755231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N2 NEL'!$N$13:$N$30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0.38223570158056758</c:v>
                      </c:pt>
                      <c:pt idx="3">
                        <c:v>0.33152961617072191</c:v>
                      </c:pt>
                      <c:pt idx="6">
                        <c:v>0.26115579313967469</c:v>
                      </c:pt>
                      <c:pt idx="9">
                        <c:v>0.11071241530429339</c:v>
                      </c:pt>
                      <c:pt idx="12">
                        <c:v>-2.196888692994119E-2</c:v>
                      </c:pt>
                      <c:pt idx="15">
                        <c:v>-0.25623189928932377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17-40D5-9E23-3E9E766C45E7}"/>
                  </c:ext>
                </c:extLst>
              </c15:ser>
            </c15:filteredScatterSeries>
            <c15:filteredScatterSeries>
              <c15:ser>
                <c:idx val="10"/>
                <c:order val="14"/>
                <c:tx>
                  <c:v>FORCE 31 bara NG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6"/>
                  <c:spPr>
                    <a:noFill/>
                    <a:ln w="222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FORCE'!$X$13:$X$33</c15:sqref>
                        </c15:formulaRef>
                      </c:ext>
                    </c:extLst>
                    <c:numCache>
                      <c:formatCode>0.0E+00</c:formatCode>
                      <c:ptCount val="21"/>
                      <c:pt idx="0">
                        <c:v>2666950.4797925525</c:v>
                      </c:pt>
                      <c:pt idx="3">
                        <c:v>2127082.3501246679</c:v>
                      </c:pt>
                      <c:pt idx="6">
                        <c:v>1864673.7063276784</c:v>
                      </c:pt>
                      <c:pt idx="9">
                        <c:v>1064146.3766690276</c:v>
                      </c:pt>
                      <c:pt idx="12">
                        <c:v>531166.7838418755</c:v>
                      </c:pt>
                      <c:pt idx="15">
                        <c:v>265000.56233661558</c:v>
                      </c:pt>
                      <c:pt idx="18">
                        <c:v>131257.25174763135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FORCE'!$O$13:$O$33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0.42825366185857977</c:v>
                      </c:pt>
                      <c:pt idx="3">
                        <c:v>0.38979254691660808</c:v>
                      </c:pt>
                      <c:pt idx="6">
                        <c:v>0.34899378566288536</c:v>
                      </c:pt>
                      <c:pt idx="9">
                        <c:v>0.28651018450171861</c:v>
                      </c:pt>
                      <c:pt idx="12">
                        <c:v>0.17438940476050149</c:v>
                      </c:pt>
                      <c:pt idx="15">
                        <c:v>2.0049769130124212E-2</c:v>
                      </c:pt>
                      <c:pt idx="18">
                        <c:v>-0.97170352645324287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717-40D5-9E23-3E9E766C45E7}"/>
                  </c:ext>
                </c:extLst>
              </c15:ser>
            </c15:filteredScatterSeries>
            <c15:filteredScatterSeries>
              <c15:ser>
                <c:idx val="15"/>
                <c:order val="15"/>
                <c:tx>
                  <c:v>FORCE 21 bara NG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tar"/>
                  <c:size val="7"/>
                  <c:spPr>
                    <a:noFill/>
                    <a:ln w="222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FORCE'!$X$42:$X$62</c15:sqref>
                        </c15:formulaRef>
                      </c:ext>
                    </c:extLst>
                    <c:numCache>
                      <c:formatCode>0.0E+00</c:formatCode>
                      <c:ptCount val="21"/>
                      <c:pt idx="0">
                        <c:v>1799641.7987191628</c:v>
                      </c:pt>
                      <c:pt idx="3">
                        <c:v>1534692.8221463149</c:v>
                      </c:pt>
                      <c:pt idx="6">
                        <c:v>1263079.7088702186</c:v>
                      </c:pt>
                      <c:pt idx="9">
                        <c:v>721256.79187173804</c:v>
                      </c:pt>
                      <c:pt idx="12">
                        <c:v>360292.61920569791</c:v>
                      </c:pt>
                      <c:pt idx="15">
                        <c:v>179708.82405566212</c:v>
                      </c:pt>
                      <c:pt idx="18">
                        <c:v>88974.104903636136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NG FORCE'!$O$42:$O$62</c15:sqref>
                        </c15:formulaRef>
                      </c:ext>
                    </c:extLst>
                    <c:numCache>
                      <c:formatCode>0.000</c:formatCode>
                      <c:ptCount val="21"/>
                      <c:pt idx="0">
                        <c:v>0.43169567776863449</c:v>
                      </c:pt>
                      <c:pt idx="3">
                        <c:v>0.34005477273344947</c:v>
                      </c:pt>
                      <c:pt idx="6">
                        <c:v>0.3287032184313603</c:v>
                      </c:pt>
                      <c:pt idx="9">
                        <c:v>0.23833452755203069</c:v>
                      </c:pt>
                      <c:pt idx="12">
                        <c:v>0.10902304619661007</c:v>
                      </c:pt>
                      <c:pt idx="15">
                        <c:v>-0.1992804791194881</c:v>
                      </c:pt>
                      <c:pt idx="18">
                        <c:v>-0.92230176797868557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717-40D5-9E23-3E9E766C45E7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8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Reynolds number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.2"/>
        <c:crossBetween val="midCat"/>
      </c:valAx>
      <c:valAx>
        <c:axId val="982349760"/>
        <c:scaling>
          <c:orientation val="minMax"/>
          <c:max val="0.60000000000000009"/>
          <c:min val="-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Volume Error</a:t>
            </a:r>
            <a:r>
              <a:rPr lang="en-GB" sz="1800" baseline="0"/>
              <a:t> for 4</a:t>
            </a:r>
            <a:r>
              <a:rPr lang="en-GB" sz="1800"/>
              <a:t>-inch turbine - CO2 vs N2 vs 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NEL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Data!$W$13:$W$30</c:f>
              <c:numCache>
                <c:formatCode>0.0E+00</c:formatCode>
                <c:ptCount val="18"/>
                <c:pt idx="0">
                  <c:v>6382062.5988686234</c:v>
                </c:pt>
                <c:pt idx="3">
                  <c:v>4463186.6971721873</c:v>
                </c:pt>
                <c:pt idx="6">
                  <c:v>2557302.8664934267</c:v>
                </c:pt>
                <c:pt idx="9">
                  <c:v>1285436.4355013398</c:v>
                </c:pt>
                <c:pt idx="12">
                  <c:v>644310.69598909991</c:v>
                </c:pt>
                <c:pt idx="15">
                  <c:v>325275.47097814031</c:v>
                </c:pt>
              </c:numCache>
              <c:extLst xmlns:c15="http://schemas.microsoft.com/office/drawing/2012/chart"/>
            </c:numRef>
          </c:xVal>
          <c:yVal>
            <c:numRef>
              <c:f>Data!$N$13:$N$30</c:f>
              <c:numCache>
                <c:formatCode>0.000</c:formatCode>
                <c:ptCount val="18"/>
                <c:pt idx="0">
                  <c:v>0.43579130479356598</c:v>
                </c:pt>
                <c:pt idx="3">
                  <c:v>0.40697778375648092</c:v>
                </c:pt>
                <c:pt idx="6">
                  <c:v>0.32783609891621163</c:v>
                </c:pt>
                <c:pt idx="9">
                  <c:v>0.24072246388204929</c:v>
                </c:pt>
                <c:pt idx="12">
                  <c:v>0.12934529719152221</c:v>
                </c:pt>
                <c:pt idx="15">
                  <c:v>0.28659242544871238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D6FF-4B3A-A945-DC23224D44A7}"/>
            </c:ext>
          </c:extLst>
        </c:ser>
        <c:ser>
          <c:idx val="3"/>
          <c:order val="3"/>
          <c:tx>
            <c:v>NEL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00B0F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Data!$W$42:$W$59</c:f>
              <c:numCache>
                <c:formatCode>0.0E+00</c:formatCode>
                <c:ptCount val="18"/>
                <c:pt idx="0">
                  <c:v>4076958.4785632435</c:v>
                </c:pt>
                <c:pt idx="3">
                  <c:v>2855489.02647705</c:v>
                </c:pt>
                <c:pt idx="6">
                  <c:v>1637088.3352514068</c:v>
                </c:pt>
                <c:pt idx="9">
                  <c:v>818088.88639224798</c:v>
                </c:pt>
                <c:pt idx="12">
                  <c:v>413400.74053245736</c:v>
                </c:pt>
                <c:pt idx="15">
                  <c:v>213135.71484477699</c:v>
                </c:pt>
              </c:numCache>
              <c:extLst xmlns:c15="http://schemas.microsoft.com/office/drawing/2012/chart"/>
            </c:numRef>
          </c:xVal>
          <c:yVal>
            <c:numRef>
              <c:f>Data!$N$42:$N$59</c:f>
              <c:numCache>
                <c:formatCode>0.000</c:formatCode>
                <c:ptCount val="18"/>
                <c:pt idx="0">
                  <c:v>0.44502175912248237</c:v>
                </c:pt>
                <c:pt idx="3">
                  <c:v>0.41398044548205309</c:v>
                </c:pt>
                <c:pt idx="6">
                  <c:v>0.28713577269880214</c:v>
                </c:pt>
                <c:pt idx="9">
                  <c:v>-2.9358656092819069E-2</c:v>
                </c:pt>
                <c:pt idx="12">
                  <c:v>-0.23236077015275747</c:v>
                </c:pt>
                <c:pt idx="15">
                  <c:v>-0.26579964572501835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D6FF-4B3A-A945-DC23224D44A7}"/>
            </c:ext>
          </c:extLst>
        </c:ser>
        <c:ser>
          <c:idx val="12"/>
          <c:order val="8"/>
          <c:tx>
            <c:v>NEL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  <c:extLst xmlns:c15="http://schemas.microsoft.com/office/drawing/2012/chart"/>
              </c:numRef>
            </c:plus>
            <c:minus>
              <c:numRef>
                <c:f>Data!$T$9</c:f>
                <c:numCache>
                  <c:formatCode>General</c:formatCode>
                  <c:ptCount val="1"/>
                  <c:pt idx="0">
                    <c:v>0.35905456970041594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Sheet2!$C$18</c:f>
              <c:numCache>
                <c:formatCode>0.00E+00</c:formatCode>
                <c:ptCount val="1"/>
                <c:pt idx="0">
                  <c:v>7500000</c:v>
                </c:pt>
              </c:numCache>
              <c:extLst xmlns:c15="http://schemas.microsoft.com/office/drawing/2012/chart"/>
            </c:numRef>
          </c:xVal>
          <c:yVal>
            <c:numRef>
              <c:f>Sheet2!$D$18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D6FF-4B3A-A945-DC23224D44A7}"/>
            </c:ext>
          </c:extLst>
        </c:ser>
        <c:ser>
          <c:idx val="11"/>
          <c:order val="13"/>
          <c:tx>
            <c:v>NEL 38 bara 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N2 NEL'!$W$13:$W$30</c:f>
              <c:numCache>
                <c:formatCode>0.0E+00</c:formatCode>
                <c:ptCount val="18"/>
                <c:pt idx="0">
                  <c:v>3374042.9926954769</c:v>
                </c:pt>
                <c:pt idx="3">
                  <c:v>2823987.2695673234</c:v>
                </c:pt>
                <c:pt idx="6">
                  <c:v>1620957.4377295736</c:v>
                </c:pt>
                <c:pt idx="9">
                  <c:v>804711.73423819558</c:v>
                </c:pt>
                <c:pt idx="12">
                  <c:v>407768.65340377233</c:v>
                </c:pt>
                <c:pt idx="15">
                  <c:v>208264.42490755231</c:v>
                </c:pt>
              </c:numCache>
              <c:extLst xmlns:c15="http://schemas.microsoft.com/office/drawing/2012/chart"/>
            </c:numRef>
          </c:xVal>
          <c:yVal>
            <c:numRef>
              <c:f>'Data N2 NEL'!$N$13:$N$30</c:f>
              <c:numCache>
                <c:formatCode>0.000</c:formatCode>
                <c:ptCount val="18"/>
                <c:pt idx="0">
                  <c:v>0.38223570158056758</c:v>
                </c:pt>
                <c:pt idx="3">
                  <c:v>0.33152961617072191</c:v>
                </c:pt>
                <c:pt idx="6">
                  <c:v>0.26115579313967469</c:v>
                </c:pt>
                <c:pt idx="9">
                  <c:v>0.11071241530429339</c:v>
                </c:pt>
                <c:pt idx="12">
                  <c:v>-2.196888692994119E-2</c:v>
                </c:pt>
                <c:pt idx="15">
                  <c:v>-0.25623189928932377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D6FF-4B3A-A945-DC23224D44A7}"/>
            </c:ext>
          </c:extLst>
        </c:ser>
        <c:ser>
          <c:idx val="10"/>
          <c:order val="14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FORCE'!$X$13:$X$33</c:f>
              <c:numCache>
                <c:formatCode>0.0E+00</c:formatCode>
                <c:ptCount val="21"/>
                <c:pt idx="0">
                  <c:v>2666950.4797925525</c:v>
                </c:pt>
                <c:pt idx="3">
                  <c:v>2127082.3501246679</c:v>
                </c:pt>
                <c:pt idx="6">
                  <c:v>1864673.7063276784</c:v>
                </c:pt>
                <c:pt idx="9">
                  <c:v>1064146.3766690276</c:v>
                </c:pt>
                <c:pt idx="12">
                  <c:v>531166.7838418755</c:v>
                </c:pt>
                <c:pt idx="15">
                  <c:v>265000.56233661558</c:v>
                </c:pt>
                <c:pt idx="18">
                  <c:v>131257.25174763135</c:v>
                </c:pt>
              </c:numCache>
              <c:extLst xmlns:c15="http://schemas.microsoft.com/office/drawing/2012/chart"/>
            </c:numRef>
          </c:xVal>
          <c:yVal>
            <c:numRef>
              <c:f>'Data NG FORCE'!$O$13:$O$33</c:f>
              <c:numCache>
                <c:formatCode>0.000</c:formatCode>
                <c:ptCount val="21"/>
                <c:pt idx="0">
                  <c:v>0.42825366185857977</c:v>
                </c:pt>
                <c:pt idx="3">
                  <c:v>0.38979254691660808</c:v>
                </c:pt>
                <c:pt idx="6">
                  <c:v>0.34899378566288536</c:v>
                </c:pt>
                <c:pt idx="9">
                  <c:v>0.28651018450171861</c:v>
                </c:pt>
                <c:pt idx="12">
                  <c:v>0.17438940476050149</c:v>
                </c:pt>
                <c:pt idx="15">
                  <c:v>2.0049769130124212E-2</c:v>
                </c:pt>
                <c:pt idx="18">
                  <c:v>-0.97170352645324287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6FF-4B3A-A945-DC23224D44A7}"/>
            </c:ext>
          </c:extLst>
        </c:ser>
        <c:ser>
          <c:idx val="15"/>
          <c:order val="15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FORCE'!$X$42:$X$62</c:f>
              <c:numCache>
                <c:formatCode>0.0E+00</c:formatCode>
                <c:ptCount val="21"/>
                <c:pt idx="0">
                  <c:v>1799641.7987191628</c:v>
                </c:pt>
                <c:pt idx="3">
                  <c:v>1534692.8221463149</c:v>
                </c:pt>
                <c:pt idx="6">
                  <c:v>1263079.7088702186</c:v>
                </c:pt>
                <c:pt idx="9">
                  <c:v>721256.79187173804</c:v>
                </c:pt>
                <c:pt idx="12">
                  <c:v>360292.61920569791</c:v>
                </c:pt>
                <c:pt idx="15">
                  <c:v>179708.82405566212</c:v>
                </c:pt>
                <c:pt idx="18">
                  <c:v>88974.104903636136</c:v>
                </c:pt>
              </c:numCache>
              <c:extLst xmlns:c15="http://schemas.microsoft.com/office/drawing/2012/chart"/>
            </c:numRef>
          </c:xVal>
          <c:yVal>
            <c:numRef>
              <c:f>'Data NG FORCE'!$O$42:$O$62</c:f>
              <c:numCache>
                <c:formatCode>0.000</c:formatCode>
                <c:ptCount val="21"/>
                <c:pt idx="0">
                  <c:v>0.43169567776863449</c:v>
                </c:pt>
                <c:pt idx="3">
                  <c:v>0.34005477273344947</c:v>
                </c:pt>
                <c:pt idx="6">
                  <c:v>0.3287032184313603</c:v>
                </c:pt>
                <c:pt idx="9">
                  <c:v>0.23833452755203069</c:v>
                </c:pt>
                <c:pt idx="12">
                  <c:v>0.10902304619661007</c:v>
                </c:pt>
                <c:pt idx="15">
                  <c:v>-0.1992804791194881</c:v>
                </c:pt>
                <c:pt idx="18">
                  <c:v>-0.92230176797868557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D6FF-4B3A-A945-DC23224D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Force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Data!$AT$13:$AT$30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5013679.1790019386</c:v>
                      </c:pt>
                      <c:pt idx="3">
                        <c:v>4385119.678611164</c:v>
                      </c:pt>
                      <c:pt idx="6">
                        <c:v>2511930.8241180461</c:v>
                      </c:pt>
                      <c:pt idx="9">
                        <c:v>1255520.1156903945</c:v>
                      </c:pt>
                      <c:pt idx="12">
                        <c:v>628850.3923848283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Data!$AK$13:$AK$30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2.9001824808290898E-2</c:v>
                      </c:pt>
                      <c:pt idx="3">
                        <c:v>0.15409850324290753</c:v>
                      </c:pt>
                      <c:pt idx="6">
                        <c:v>0.33823849701295677</c:v>
                      </c:pt>
                      <c:pt idx="9">
                        <c:v>0.30164187849878865</c:v>
                      </c:pt>
                      <c:pt idx="12">
                        <c:v>0.15079639053427374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D6FF-4B3A-A945-DC23224D44A7}"/>
                  </c:ext>
                </c:extLst>
              </c15:ser>
            </c15:filteredScatterSeries>
            <c15:filteredScatterSeries>
              <c15:ser>
                <c:idx val="7"/>
                <c:order val="2"/>
                <c:tx>
                  <c:v>DNV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Data!$BP$13:$BP$30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5761967.6687396728</c:v>
                      </c:pt>
                      <c:pt idx="3">
                        <c:v>4258214.5404843315</c:v>
                      </c:pt>
                      <c:pt idx="6">
                        <c:v>2524249.1273759622</c:v>
                      </c:pt>
                      <c:pt idx="9">
                        <c:v>1326328.3567390884</c:v>
                      </c:pt>
                      <c:pt idx="12">
                        <c:v>547381.41043593478</c:v>
                      </c:pt>
                      <c:pt idx="15">
                        <c:v>392152.01406937069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Data!$BG$13:$BG$30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0.10389816107058951</c:v>
                      </c:pt>
                      <c:pt idx="3">
                        <c:v>8.3696180521957861E-2</c:v>
                      </c:pt>
                      <c:pt idx="6">
                        <c:v>0.11521024833533894</c:v>
                      </c:pt>
                      <c:pt idx="9">
                        <c:v>1.4191445859336345E-3</c:v>
                      </c:pt>
                      <c:pt idx="12">
                        <c:v>-0.44060445039733981</c:v>
                      </c:pt>
                      <c:pt idx="15">
                        <c:v>-0.5081838211596067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FF-4B3A-A945-DC23224D44A7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Force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Data!$AT$42:$AT$59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3342471.453523559</c:v>
                      </c:pt>
                      <c:pt idx="3">
                        <c:v>2751095.9861161872</c:v>
                      </c:pt>
                      <c:pt idx="6">
                        <c:v>1573955.8968032803</c:v>
                      </c:pt>
                      <c:pt idx="9">
                        <c:v>798146.85017852217</c:v>
                      </c:pt>
                      <c:pt idx="12">
                        <c:v>398954.23740763147</c:v>
                      </c:pt>
                      <c:pt idx="15">
                        <c:v>198924.78078131346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Data!$AK$42:$AK$59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0.18178136735812267</c:v>
                      </c:pt>
                      <c:pt idx="3">
                        <c:v>0.17860847738316907</c:v>
                      </c:pt>
                      <c:pt idx="6">
                        <c:v>0.25672934375865303</c:v>
                      </c:pt>
                      <c:pt idx="9">
                        <c:v>0.26599050468995439</c:v>
                      </c:pt>
                      <c:pt idx="12">
                        <c:v>0.14389497569375292</c:v>
                      </c:pt>
                      <c:pt idx="15">
                        <c:v>-6.1547913949535682E-2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6FF-4B3A-A945-DC23224D44A7}"/>
                  </c:ext>
                </c:extLst>
              </c15:ser>
            </c15:filteredScatterSeries>
            <c15:filteredScatterSeries>
              <c15:ser>
                <c:idx val="6"/>
                <c:order val="5"/>
                <c:tx>
                  <c:v>DNV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Data!$BP$42:$BP$59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4172588.2835406363</c:v>
                      </c:pt>
                      <c:pt idx="3">
                        <c:v>3174560.6915504504</c:v>
                      </c:pt>
                      <c:pt idx="6">
                        <c:v>1911519.258759809</c:v>
                      </c:pt>
                      <c:pt idx="9">
                        <c:v>1019901.3993886675</c:v>
                      </c:pt>
                      <c:pt idx="12">
                        <c:v>413044.0045647361</c:v>
                      </c:pt>
                      <c:pt idx="15">
                        <c:v>293929.6533173513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Data!$BG$42:$BG$59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-3.9621506756552559E-3</c:v>
                      </c:pt>
                      <c:pt idx="3">
                        <c:v>6.2425648177725897E-2</c:v>
                      </c:pt>
                      <c:pt idx="6">
                        <c:v>0.1309125745884186</c:v>
                      </c:pt>
                      <c:pt idx="9">
                        <c:v>-8.4623813371603671E-2</c:v>
                      </c:pt>
                      <c:pt idx="12">
                        <c:v>-0.65561054609638714</c:v>
                      </c:pt>
                      <c:pt idx="15">
                        <c:v>-0.81791124822614414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6FF-4B3A-A945-DC23224D44A7}"/>
                  </c:ext>
                </c:extLst>
              </c15:ser>
            </c15:filteredScatterSeries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Data!$BZ$13:$BZ$30</c15:sqref>
                        </c15:formulaRef>
                      </c:ext>
                    </c:extLst>
                    <c:numCache>
                      <c:formatCode>0.00E+00</c:formatCode>
                      <c:ptCount val="18"/>
                      <c:pt idx="0">
                        <c:v>5719236.4822034119</c:v>
                      </c:pt>
                      <c:pt idx="3">
                        <c:v>4368840.3054225603</c:v>
                      </c:pt>
                      <c:pt idx="6">
                        <c:v>2531160.939329145</c:v>
                      </c:pt>
                      <c:pt idx="9">
                        <c:v>1289094.9693102741</c:v>
                      </c:pt>
                      <c:pt idx="12">
                        <c:v>606847.49960328767</c:v>
                      </c:pt>
                      <c:pt idx="15">
                        <c:v>358713.74252375553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Data!$CB$13:$CB$30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9.5058977573553069E-2</c:v>
                      </c:pt>
                      <c:pt idx="3">
                        <c:v>0.16001347586663897</c:v>
                      </c:pt>
                      <c:pt idx="6">
                        <c:v>0.27643703621334964</c:v>
                      </c:pt>
                      <c:pt idx="9">
                        <c:v>0.23830976925658784</c:v>
                      </c:pt>
                      <c:pt idx="12">
                        <c:v>-1.5789448759385181E-2</c:v>
                      </c:pt>
                      <c:pt idx="15">
                        <c:v>-0.29191200309168475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6FF-4B3A-A945-DC23224D44A7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Data!$BZ$42:$BZ$59</c15:sqref>
                        </c15:formulaRef>
                      </c:ext>
                    </c:extLst>
                    <c:numCache>
                      <c:formatCode>0.00E+00</c:formatCode>
                      <c:ptCount val="18"/>
                      <c:pt idx="0">
                        <c:v>3864006.071875813</c:v>
                      </c:pt>
                      <c:pt idx="3">
                        <c:v>2927048.568047896</c:v>
                      </c:pt>
                      <c:pt idx="6">
                        <c:v>1707521.163604832</c:v>
                      </c:pt>
                      <c:pt idx="9">
                        <c:v>878712.37865314586</c:v>
                      </c:pt>
                      <c:pt idx="12">
                        <c:v>408466.32750160829</c:v>
                      </c:pt>
                      <c:pt idx="15">
                        <c:v>235330.0496478139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Data!$CB$42:$CB$59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0.16621295064494471</c:v>
                      </c:pt>
                      <c:pt idx="3">
                        <c:v>0.17225390702208002</c:v>
                      </c:pt>
                      <c:pt idx="6">
                        <c:v>0.22428053059118663</c:v>
                      </c:pt>
                      <c:pt idx="9">
                        <c:v>0.13697406568011017</c:v>
                      </c:pt>
                      <c:pt idx="12">
                        <c:v>-0.10757778158427554</c:v>
                      </c:pt>
                      <c:pt idx="15">
                        <c:v>-0.28176731043573944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6FF-4B3A-A945-DC23224D44A7}"/>
                  </c:ext>
                </c:extLst>
              </c15:ser>
            </c15:filteredScatterSeries>
            <c15:filteredScatterSeries>
              <c15:ser>
                <c:idx val="13"/>
                <c:order val="9"/>
                <c:tx>
                  <c:v>Force Unc. 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4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Data!$AQ$9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0.15119369929922344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Data!$AQ$9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0.15119369929922344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Sheet2!$C$19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7700000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Sheet2!$D$19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6FF-4B3A-A945-DC23224D44A7}"/>
                  </c:ext>
                </c:extLst>
              </c15:ser>
            </c15:filteredScatterSeries>
            <c15:filteredScatterSeries>
              <c15:ser>
                <c:idx val="14"/>
                <c:order val="10"/>
                <c:tx>
                  <c:v>DNV Unc.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Data!$BM$9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0.23395912494736884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Data!$BM$9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0.23395912494736884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Sheet2!$C$20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7900000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Sheet2!$D$20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6FF-4B3A-A945-DC23224D44A7}"/>
                  </c:ext>
                </c:extLst>
              </c15:ser>
            </c15:filteredScatterSeries>
            <c15:filteredScatterSeries>
              <c15:ser>
                <c:idx val="8"/>
                <c:order val="11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6FF-4B3A-A945-DC23224D44A7}"/>
                  </c:ext>
                </c:extLst>
              </c15:ser>
            </c15:filteredScatterSeries>
            <c15:filteredScatterSeries>
              <c15:ser>
                <c:idx val="9"/>
                <c:order val="12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6FF-4B3A-A945-DC23224D44A7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8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Reynolds number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.2"/>
        <c:crossBetween val="midCat"/>
      </c:valAx>
      <c:valAx>
        <c:axId val="982349760"/>
        <c:scaling>
          <c:orientation val="minMax"/>
          <c:max val="0.60000000000000009"/>
          <c:min val="-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/>
              <a:t>Volume Error</a:t>
            </a:r>
            <a:r>
              <a:rPr lang="en-GB" sz="1800" baseline="0"/>
              <a:t> for 4</a:t>
            </a:r>
            <a:r>
              <a:rPr lang="en-GB" sz="1800"/>
              <a:t>-inch turbine - CO2 vs NG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Force 31 bara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Data!$AT$13:$AT$30</c:f>
              <c:numCache>
                <c:formatCode>0.0E+00</c:formatCode>
                <c:ptCount val="18"/>
                <c:pt idx="0">
                  <c:v>5013679.1790019386</c:v>
                </c:pt>
                <c:pt idx="3">
                  <c:v>4385119.678611164</c:v>
                </c:pt>
                <c:pt idx="6">
                  <c:v>2511930.8241180461</c:v>
                </c:pt>
                <c:pt idx="9">
                  <c:v>1255520.1156903945</c:v>
                </c:pt>
                <c:pt idx="12">
                  <c:v>628850.3923848283</c:v>
                </c:pt>
              </c:numCache>
              <c:extLst xmlns:c15="http://schemas.microsoft.com/office/drawing/2012/chart"/>
            </c:numRef>
          </c:xVal>
          <c:yVal>
            <c:numRef>
              <c:f>Data!$AK$13:$AK$30</c:f>
              <c:numCache>
                <c:formatCode>0.000</c:formatCode>
                <c:ptCount val="18"/>
                <c:pt idx="0">
                  <c:v>2.9001824808290898E-2</c:v>
                </c:pt>
                <c:pt idx="3">
                  <c:v>0.15409850324290753</c:v>
                </c:pt>
                <c:pt idx="6">
                  <c:v>0.33823849701295677</c:v>
                </c:pt>
                <c:pt idx="9">
                  <c:v>0.30164187849878865</c:v>
                </c:pt>
                <c:pt idx="12">
                  <c:v>0.15079639053427374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07B-466D-8AAA-4734AE7CBE5C}"/>
            </c:ext>
          </c:extLst>
        </c:ser>
        <c:ser>
          <c:idx val="4"/>
          <c:order val="4"/>
          <c:tx>
            <c:v>Force 21 bara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Data!$AT$42:$AT$59</c:f>
              <c:numCache>
                <c:formatCode>0.0E+00</c:formatCode>
                <c:ptCount val="18"/>
                <c:pt idx="0">
                  <c:v>3342471.453523559</c:v>
                </c:pt>
                <c:pt idx="3">
                  <c:v>2751095.9861161872</c:v>
                </c:pt>
                <c:pt idx="6">
                  <c:v>1573955.8968032803</c:v>
                </c:pt>
                <c:pt idx="9">
                  <c:v>798146.85017852217</c:v>
                </c:pt>
                <c:pt idx="12">
                  <c:v>398954.23740763147</c:v>
                </c:pt>
                <c:pt idx="15">
                  <c:v>198924.78078131346</c:v>
                </c:pt>
              </c:numCache>
              <c:extLst xmlns:c15="http://schemas.microsoft.com/office/drawing/2012/chart"/>
            </c:numRef>
          </c:xVal>
          <c:yVal>
            <c:numRef>
              <c:f>Data!$AK$42:$AK$59</c:f>
              <c:numCache>
                <c:formatCode>0.000</c:formatCode>
                <c:ptCount val="18"/>
                <c:pt idx="0">
                  <c:v>0.18178136735812267</c:v>
                </c:pt>
                <c:pt idx="3">
                  <c:v>0.17860847738316907</c:v>
                </c:pt>
                <c:pt idx="6">
                  <c:v>0.25672934375865303</c:v>
                </c:pt>
                <c:pt idx="9">
                  <c:v>0.26599050468995439</c:v>
                </c:pt>
                <c:pt idx="12">
                  <c:v>0.14389497569375292</c:v>
                </c:pt>
                <c:pt idx="15">
                  <c:v>-6.1547913949535682E-2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07B-466D-8AAA-4734AE7CBE5C}"/>
            </c:ext>
          </c:extLst>
        </c:ser>
        <c:ser>
          <c:idx val="13"/>
          <c:order val="9"/>
          <c:tx>
            <c:v>Force Unc. 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</c:numRef>
            </c:plus>
            <c:minus>
              <c:numRef>
                <c:f>Data!$AQ$9</c:f>
                <c:numCache>
                  <c:formatCode>General</c:formatCode>
                  <c:ptCount val="1"/>
                  <c:pt idx="0">
                    <c:v>0.15119369929922344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Sheet2!$C$19</c:f>
              <c:numCache>
                <c:formatCode>0.00E+00</c:formatCode>
                <c:ptCount val="1"/>
                <c:pt idx="0">
                  <c:v>7700000</c:v>
                </c:pt>
              </c:numCache>
            </c:numRef>
          </c:xVal>
          <c:yVal>
            <c:numRef>
              <c:f>Sheet2!$D$19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07B-466D-8AAA-4734AE7CBE5C}"/>
            </c:ext>
          </c:extLst>
        </c:ser>
        <c:ser>
          <c:idx val="10"/>
          <c:order val="14"/>
          <c:tx>
            <c:v>FORCE 31 bara NG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FORCE'!$X$13:$X$33</c:f>
              <c:numCache>
                <c:formatCode>0.0E+00</c:formatCode>
                <c:ptCount val="21"/>
                <c:pt idx="0">
                  <c:v>2666950.4797925525</c:v>
                </c:pt>
                <c:pt idx="3">
                  <c:v>2127082.3501246679</c:v>
                </c:pt>
                <c:pt idx="6">
                  <c:v>1864673.7063276784</c:v>
                </c:pt>
                <c:pt idx="9">
                  <c:v>1064146.3766690276</c:v>
                </c:pt>
                <c:pt idx="12">
                  <c:v>531166.7838418755</c:v>
                </c:pt>
                <c:pt idx="15">
                  <c:v>265000.56233661558</c:v>
                </c:pt>
                <c:pt idx="18">
                  <c:v>131257.25174763135</c:v>
                </c:pt>
              </c:numCache>
            </c:numRef>
          </c:xVal>
          <c:yVal>
            <c:numRef>
              <c:f>'Data NG FORCE'!$O$13:$O$33</c:f>
              <c:numCache>
                <c:formatCode>0.000</c:formatCode>
                <c:ptCount val="21"/>
                <c:pt idx="0">
                  <c:v>0.42825366185857977</c:v>
                </c:pt>
                <c:pt idx="3">
                  <c:v>0.38979254691660808</c:v>
                </c:pt>
                <c:pt idx="6">
                  <c:v>0.34899378566288536</c:v>
                </c:pt>
                <c:pt idx="9">
                  <c:v>0.28651018450171861</c:v>
                </c:pt>
                <c:pt idx="12">
                  <c:v>0.17438940476050149</c:v>
                </c:pt>
                <c:pt idx="15">
                  <c:v>2.0049769130124212E-2</c:v>
                </c:pt>
                <c:pt idx="18">
                  <c:v>-0.97170352645324287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07B-466D-8AAA-4734AE7CBE5C}"/>
            </c:ext>
          </c:extLst>
        </c:ser>
        <c:ser>
          <c:idx val="15"/>
          <c:order val="15"/>
          <c:tx>
            <c:v>FORCE 21 bara NG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22225">
                <a:solidFill>
                  <a:srgbClr val="7030A0"/>
                </a:solidFill>
              </a:ln>
              <a:effectLst/>
            </c:spPr>
          </c:marker>
          <c:xVal>
            <c:numRef>
              <c:f>'Data NG FORCE'!$X$42:$X$62</c:f>
              <c:numCache>
                <c:formatCode>0.0E+00</c:formatCode>
                <c:ptCount val="21"/>
                <c:pt idx="0">
                  <c:v>1799641.7987191628</c:v>
                </c:pt>
                <c:pt idx="3">
                  <c:v>1534692.8221463149</c:v>
                </c:pt>
                <c:pt idx="6">
                  <c:v>1263079.7088702186</c:v>
                </c:pt>
                <c:pt idx="9">
                  <c:v>721256.79187173804</c:v>
                </c:pt>
                <c:pt idx="12">
                  <c:v>360292.61920569791</c:v>
                </c:pt>
                <c:pt idx="15">
                  <c:v>179708.82405566212</c:v>
                </c:pt>
                <c:pt idx="18">
                  <c:v>88974.104903636136</c:v>
                </c:pt>
              </c:numCache>
            </c:numRef>
          </c:xVal>
          <c:yVal>
            <c:numRef>
              <c:f>'Data NG FORCE'!$O$42:$O$62</c:f>
              <c:numCache>
                <c:formatCode>0.000</c:formatCode>
                <c:ptCount val="21"/>
                <c:pt idx="0">
                  <c:v>0.43169567776863449</c:v>
                </c:pt>
                <c:pt idx="3">
                  <c:v>0.34005477273344947</c:v>
                </c:pt>
                <c:pt idx="6">
                  <c:v>0.3287032184313603</c:v>
                </c:pt>
                <c:pt idx="9">
                  <c:v>0.23833452755203069</c:v>
                </c:pt>
                <c:pt idx="12">
                  <c:v>0.10902304619661007</c:v>
                </c:pt>
                <c:pt idx="15">
                  <c:v>-0.1992804791194881</c:v>
                </c:pt>
                <c:pt idx="18">
                  <c:v>-0.92230176797868557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07B-466D-8AAA-4734AE7CB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00944"/>
        <c:axId val="98234976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NEL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rgbClr val="00B0F0"/>
                    </a:solidFill>
                    <a:ln w="63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Data!$W$13:$W$30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6382062.5988686234</c:v>
                      </c:pt>
                      <c:pt idx="3">
                        <c:v>4463186.6971721873</c:v>
                      </c:pt>
                      <c:pt idx="6">
                        <c:v>2557302.8664934267</c:v>
                      </c:pt>
                      <c:pt idx="9">
                        <c:v>1285436.4355013398</c:v>
                      </c:pt>
                      <c:pt idx="12">
                        <c:v>644310.69598909991</c:v>
                      </c:pt>
                      <c:pt idx="15">
                        <c:v>325275.47097814031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Data!$N$13:$N$30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0.43579130479356598</c:v>
                      </c:pt>
                      <c:pt idx="3">
                        <c:v>0.40697778375648092</c:v>
                      </c:pt>
                      <c:pt idx="6">
                        <c:v>0.32783609891621163</c:v>
                      </c:pt>
                      <c:pt idx="9">
                        <c:v>0.24072246388204929</c:v>
                      </c:pt>
                      <c:pt idx="12">
                        <c:v>0.12934529719152221</c:v>
                      </c:pt>
                      <c:pt idx="15">
                        <c:v>0.28659242544871238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807B-466D-8AAA-4734AE7CBE5C}"/>
                  </c:ext>
                </c:extLst>
              </c15:ser>
            </c15:filteredScatterSeries>
            <c15:filteredScatterSeries>
              <c15:ser>
                <c:idx val="7"/>
                <c:order val="2"/>
                <c:tx>
                  <c:v>DNV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Data!$BP$13:$BP$30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5761967.6687396728</c:v>
                      </c:pt>
                      <c:pt idx="3">
                        <c:v>4258214.5404843315</c:v>
                      </c:pt>
                      <c:pt idx="6">
                        <c:v>2524249.1273759622</c:v>
                      </c:pt>
                      <c:pt idx="9">
                        <c:v>1326328.3567390884</c:v>
                      </c:pt>
                      <c:pt idx="12">
                        <c:v>547381.41043593478</c:v>
                      </c:pt>
                      <c:pt idx="15">
                        <c:v>392152.01406937069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Data!$BG$13:$BG$30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0.10389816107058951</c:v>
                      </c:pt>
                      <c:pt idx="3">
                        <c:v>8.3696180521957861E-2</c:v>
                      </c:pt>
                      <c:pt idx="6">
                        <c:v>0.11521024833533894</c:v>
                      </c:pt>
                      <c:pt idx="9">
                        <c:v>1.4191445859336345E-3</c:v>
                      </c:pt>
                      <c:pt idx="12">
                        <c:v>-0.44060445039733981</c:v>
                      </c:pt>
                      <c:pt idx="15">
                        <c:v>-0.5081838211596067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07B-466D-8AAA-4734AE7CBE5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NEL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rgbClr val="00B0F0"/>
                    </a:solidFill>
                    <a:ln w="63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Data!$W$42:$W$59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4076958.4785632435</c:v>
                      </c:pt>
                      <c:pt idx="3">
                        <c:v>2855489.02647705</c:v>
                      </c:pt>
                      <c:pt idx="6">
                        <c:v>1637088.3352514068</c:v>
                      </c:pt>
                      <c:pt idx="9">
                        <c:v>818088.88639224798</c:v>
                      </c:pt>
                      <c:pt idx="12">
                        <c:v>413400.74053245736</c:v>
                      </c:pt>
                      <c:pt idx="15">
                        <c:v>213135.71484477699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Data!$N$42:$N$59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0.44502175912248237</c:v>
                      </c:pt>
                      <c:pt idx="3">
                        <c:v>0.41398044548205309</c:v>
                      </c:pt>
                      <c:pt idx="6">
                        <c:v>0.28713577269880214</c:v>
                      </c:pt>
                      <c:pt idx="9">
                        <c:v>-2.9358656092819069E-2</c:v>
                      </c:pt>
                      <c:pt idx="12">
                        <c:v>-0.23236077015275747</c:v>
                      </c:pt>
                      <c:pt idx="15">
                        <c:v>-0.26579964572501835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07B-466D-8AAA-4734AE7CBE5C}"/>
                  </c:ext>
                </c:extLst>
              </c15:ser>
            </c15:filteredScatterSeries>
            <c15:filteredScatterSeries>
              <c15:ser>
                <c:idx val="6"/>
                <c:order val="5"/>
                <c:tx>
                  <c:v>DNV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accent3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Data!$BP$42:$BP$59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4172588.2835406363</c:v>
                      </c:pt>
                      <c:pt idx="3">
                        <c:v>3174560.6915504504</c:v>
                      </c:pt>
                      <c:pt idx="6">
                        <c:v>1911519.258759809</c:v>
                      </c:pt>
                      <c:pt idx="9">
                        <c:v>1019901.3993886675</c:v>
                      </c:pt>
                      <c:pt idx="12">
                        <c:v>413044.0045647361</c:v>
                      </c:pt>
                      <c:pt idx="15">
                        <c:v>293929.6533173513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Data!$BG$42:$BG$59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-3.9621506756552559E-3</c:v>
                      </c:pt>
                      <c:pt idx="3">
                        <c:v>6.2425648177725897E-2</c:v>
                      </c:pt>
                      <c:pt idx="6">
                        <c:v>0.1309125745884186</c:v>
                      </c:pt>
                      <c:pt idx="9">
                        <c:v>-8.4623813371603671E-2</c:v>
                      </c:pt>
                      <c:pt idx="12">
                        <c:v>-0.65561054609638714</c:v>
                      </c:pt>
                      <c:pt idx="15">
                        <c:v>-0.81791124822614414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07B-466D-8AAA-4734AE7CBE5C}"/>
                  </c:ext>
                </c:extLst>
              </c15:ser>
            </c15:filteredScatterSeries>
            <c15:filteredScatterSeries>
              <c15:ser>
                <c:idx val="2"/>
                <c:order val="6"/>
                <c:tx>
                  <c:v>KCRV 31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noFill/>
                    <a:ln w="1587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Data!$BZ$13:$BZ$30</c15:sqref>
                        </c15:formulaRef>
                      </c:ext>
                    </c:extLst>
                    <c:numCache>
                      <c:formatCode>0.00E+00</c:formatCode>
                      <c:ptCount val="18"/>
                      <c:pt idx="0">
                        <c:v>5719236.4822034119</c:v>
                      </c:pt>
                      <c:pt idx="3">
                        <c:v>4368840.3054225603</c:v>
                      </c:pt>
                      <c:pt idx="6">
                        <c:v>2531160.939329145</c:v>
                      </c:pt>
                      <c:pt idx="9">
                        <c:v>1289094.9693102741</c:v>
                      </c:pt>
                      <c:pt idx="12">
                        <c:v>606847.49960328767</c:v>
                      </c:pt>
                      <c:pt idx="15">
                        <c:v>358713.74252375553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Data!$CB$13:$CB$30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9.5058977573553069E-2</c:v>
                      </c:pt>
                      <c:pt idx="3">
                        <c:v>0.16001347586663897</c:v>
                      </c:pt>
                      <c:pt idx="6">
                        <c:v>0.27643703621334964</c:v>
                      </c:pt>
                      <c:pt idx="9">
                        <c:v>0.23830976925658784</c:v>
                      </c:pt>
                      <c:pt idx="12">
                        <c:v>-1.5789448759385181E-2</c:v>
                      </c:pt>
                      <c:pt idx="15">
                        <c:v>-0.29191200309168475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07B-466D-8AAA-4734AE7CBE5C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v>KRVC 21 bara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9"/>
                  <c:spPr>
                    <a:noFill/>
                    <a:ln w="19050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Data!$BZ$42:$BZ$59</c15:sqref>
                        </c15:formulaRef>
                      </c:ext>
                    </c:extLst>
                    <c:numCache>
                      <c:formatCode>0.00E+00</c:formatCode>
                      <c:ptCount val="18"/>
                      <c:pt idx="0">
                        <c:v>3864006.071875813</c:v>
                      </c:pt>
                      <c:pt idx="3">
                        <c:v>2927048.568047896</c:v>
                      </c:pt>
                      <c:pt idx="6">
                        <c:v>1707521.163604832</c:v>
                      </c:pt>
                      <c:pt idx="9">
                        <c:v>878712.37865314586</c:v>
                      </c:pt>
                      <c:pt idx="12">
                        <c:v>408466.32750160829</c:v>
                      </c:pt>
                      <c:pt idx="15">
                        <c:v>235330.0496478139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Data!$CB$42:$CB$59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0.16621295064494471</c:v>
                      </c:pt>
                      <c:pt idx="3">
                        <c:v>0.17225390702208002</c:v>
                      </c:pt>
                      <c:pt idx="6">
                        <c:v>0.22428053059118663</c:v>
                      </c:pt>
                      <c:pt idx="9">
                        <c:v>0.13697406568011017</c:v>
                      </c:pt>
                      <c:pt idx="12">
                        <c:v>-0.10757778158427554</c:v>
                      </c:pt>
                      <c:pt idx="15">
                        <c:v>-0.28176731043573944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07B-466D-8AAA-4734AE7CBE5C}"/>
                  </c:ext>
                </c:extLst>
              </c15:ser>
            </c15:filteredScatterSeries>
            <c15:filteredScatterSeries>
              <c15:ser>
                <c:idx val="12"/>
                <c:order val="8"/>
                <c:tx>
                  <c:v>NEL Unc. 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rgbClr val="00B0F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Data!$T$9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0.35905456970041594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Data!$T$9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0.35905456970041594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Sheet2!$C$18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7500000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Sheet2!$D$18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07B-466D-8AAA-4734AE7CBE5C}"/>
                  </c:ext>
                </c:extLst>
              </c15:ser>
            </c15:filteredScatterSeries>
            <c15:filteredScatterSeries>
              <c15:ser>
                <c:idx val="14"/>
                <c:order val="10"/>
                <c:tx>
                  <c:v>DNV Unc.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Data!$BM$9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0.23395912494736884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Data!$BM$9</c15:sqref>
                          </c15:formulaRef>
                        </c:ext>
                      </c:extLst>
                      <c:numCache>
                        <c:formatCode>General</c:formatCode>
                        <c:ptCount val="1"/>
                        <c:pt idx="0">
                          <c:v>0.23395912494736884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Sheet2!$C$20</c15:sqref>
                        </c15:formulaRef>
                      </c:ext>
                    </c:extLst>
                    <c:numCache>
                      <c:formatCode>0.00E+00</c:formatCode>
                      <c:ptCount val="1"/>
                      <c:pt idx="0">
                        <c:v>7900000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Sheet2!$D$20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07B-466D-8AAA-4734AE7CBE5C}"/>
                  </c:ext>
                </c:extLst>
              </c15:ser>
            </c15:filteredScatterSeries>
            <c15:filteredScatterSeries>
              <c15:ser>
                <c:idx val="8"/>
                <c:order val="11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07B-466D-8AAA-4734AE7CBE5C}"/>
                  </c:ext>
                </c:extLst>
              </c15:ser>
            </c15:filteredScatterSeries>
            <c15:filteredScatterSeries>
              <c15:ser>
                <c:idx val="9"/>
                <c:order val="12"/>
                <c:tx>
                  <c:v>Specs</c:v>
                </c:tx>
                <c:spPr>
                  <a:ln w="25400" cap="rnd">
                    <a:solidFill>
                      <a:schemeClr val="tx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07B-466D-8AAA-4734AE7CBE5C}"/>
                  </c:ext>
                </c:extLst>
              </c15:ser>
            </c15:filteredScatterSeries>
            <c15:filteredScatterSeries>
              <c15:ser>
                <c:idx val="11"/>
                <c:order val="13"/>
                <c:tx>
                  <c:v>NEL 38 bara N2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7"/>
                  <c:spPr>
                    <a:solidFill>
                      <a:srgbClr val="FF0000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N2 NEL'!$W$13:$W$30</c15:sqref>
                        </c15:formulaRef>
                      </c:ext>
                    </c:extLst>
                    <c:numCache>
                      <c:formatCode>0.0E+00</c:formatCode>
                      <c:ptCount val="18"/>
                      <c:pt idx="0">
                        <c:v>3374042.9926954769</c:v>
                      </c:pt>
                      <c:pt idx="3">
                        <c:v>2823987.2695673234</c:v>
                      </c:pt>
                      <c:pt idx="6">
                        <c:v>1620957.4377295736</c:v>
                      </c:pt>
                      <c:pt idx="9">
                        <c:v>804711.73423819558</c:v>
                      </c:pt>
                      <c:pt idx="12">
                        <c:v>407768.65340377233</c:v>
                      </c:pt>
                      <c:pt idx="15">
                        <c:v>208264.42490755231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N2 NEL'!$N$13:$N$30</c15:sqref>
                        </c15:formulaRef>
                      </c:ext>
                    </c:extLst>
                    <c:numCache>
                      <c:formatCode>0.000</c:formatCode>
                      <c:ptCount val="18"/>
                      <c:pt idx="0">
                        <c:v>0.38223570158056758</c:v>
                      </c:pt>
                      <c:pt idx="3">
                        <c:v>0.33152961617072191</c:v>
                      </c:pt>
                      <c:pt idx="6">
                        <c:v>0.26115579313967469</c:v>
                      </c:pt>
                      <c:pt idx="9">
                        <c:v>0.11071241530429339</c:v>
                      </c:pt>
                      <c:pt idx="12">
                        <c:v>-2.196888692994119E-2</c:v>
                      </c:pt>
                      <c:pt idx="15">
                        <c:v>-0.25623189928932377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07B-466D-8AAA-4734AE7CBE5C}"/>
                  </c:ext>
                </c:extLst>
              </c15:ser>
            </c15:filteredScatterSeries>
          </c:ext>
        </c:extLst>
      </c:scatterChart>
      <c:valAx>
        <c:axId val="910100944"/>
        <c:scaling>
          <c:orientation val="minMax"/>
          <c:max val="80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800"/>
                  <a:t>Reynolds number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349760"/>
        <c:crossesAt val="-1.2"/>
        <c:crossBetween val="midCat"/>
      </c:valAx>
      <c:valAx>
        <c:axId val="9823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br>
                  <a:rPr lang="en-GB" sz="1800"/>
                </a:br>
                <a:r>
                  <a:rPr lang="en-GB" sz="1800"/>
                  <a:t>Error MUT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0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4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5A2B0C-6727-46FE-BF4F-65C0C255EBBB}">
  <sheetPr/>
  <sheetViews>
    <sheetView tabSelected="1"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31B9DA-C9D9-4FDD-84E0-3E8FFF83C852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0E40D1-277A-4E63-ADE6-C37332C0574B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172FA0B-7CDF-4329-BE46-B3BAB9265377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391354-3204-431A-B993-61104691BFCC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B7DAA7-0CB3-49B6-8909-4F7A40BE733B}">
  <sheetPr/>
  <sheetViews>
    <sheetView zoomScale="13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50E6E8-A0F5-41E7-ADD4-9C12CB1BB3A1}">
  <sheetPr/>
  <sheetViews>
    <sheetView zoomScale="13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E553F-5333-8BA4-28AD-D8E1892E78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AEBBE8-16A4-94C5-868E-9240F6B62C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339976-3C05-6686-539B-C8FFDDF5A6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25BBA5-1A60-8358-B57D-CF0A909EBB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EFF946-BC5B-38D0-2119-6A4F9D8DA0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6959F-73C0-7372-34C4-A4E568ECD6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8E54B-D4D0-33D3-5FE5-650BB615C1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CF18-2CD5-467F-808D-5A4B35ABD5C7}">
  <dimension ref="B1:CR59"/>
  <sheetViews>
    <sheetView zoomScaleNormal="100" workbookViewId="0">
      <selection activeCell="AD35" sqref="AD35"/>
    </sheetView>
  </sheetViews>
  <sheetFormatPr defaultRowHeight="15"/>
  <cols>
    <col min="2" max="2" width="15.85546875" bestFit="1" customWidth="1"/>
    <col min="3" max="3" width="15.42578125" bestFit="1" customWidth="1"/>
    <col min="4" max="4" width="20.7109375" bestFit="1" customWidth="1"/>
    <col min="5" max="5" width="9.28515625" bestFit="1" customWidth="1"/>
    <col min="6" max="6" width="18.42578125" customWidth="1"/>
    <col min="7" max="7" width="11.42578125" bestFit="1" customWidth="1"/>
    <col min="8" max="8" width="13.28515625" customWidth="1"/>
    <col min="9" max="9" width="11.7109375" bestFit="1" customWidth="1"/>
    <col min="10" max="10" width="12.5703125" bestFit="1" customWidth="1"/>
    <col min="11" max="11" width="17.85546875" customWidth="1"/>
    <col min="12" max="12" width="11.5703125" bestFit="1" customWidth="1"/>
    <col min="13" max="13" width="10.140625" customWidth="1"/>
    <col min="14" max="14" width="11.7109375" customWidth="1"/>
    <col min="15" max="16" width="9.140625" customWidth="1"/>
    <col min="17" max="17" width="13" bestFit="1" customWidth="1"/>
    <col min="18" max="18" width="12.28515625" bestFit="1" customWidth="1"/>
    <col min="19" max="20" width="9.140625" customWidth="1"/>
    <col min="21" max="21" width="13.28515625" customWidth="1"/>
    <col min="22" max="25" width="9.140625" customWidth="1"/>
    <col min="26" max="26" width="18.5703125" bestFit="1" customWidth="1"/>
    <col min="27" max="27" width="9.85546875" bestFit="1" customWidth="1"/>
    <col min="28" max="28" width="13.140625" bestFit="1" customWidth="1"/>
    <col min="29" max="29" width="11.42578125" bestFit="1" customWidth="1"/>
    <col min="30" max="30" width="7.28515625" bestFit="1" customWidth="1"/>
    <col min="31" max="31" width="11.5703125" customWidth="1"/>
    <col min="32" max="32" width="11.28515625" customWidth="1"/>
    <col min="33" max="33" width="11.85546875" customWidth="1"/>
    <col min="34" max="34" width="8.140625" bestFit="1" customWidth="1"/>
    <col min="35" max="35" width="9.140625" customWidth="1"/>
    <col min="36" max="36" width="14.85546875" customWidth="1"/>
    <col min="37" max="38" width="9.28515625" bestFit="1" customWidth="1"/>
    <col min="39" max="40" width="9.28515625" customWidth="1"/>
    <col min="41" max="43" width="9.28515625" bestFit="1" customWidth="1"/>
    <col min="44" max="44" width="10.7109375" bestFit="1" customWidth="1"/>
    <col min="47" max="48" width="11.7109375" customWidth="1"/>
    <col min="49" max="49" width="20.42578125" bestFit="1" customWidth="1"/>
    <col min="50" max="50" width="11.7109375" customWidth="1"/>
    <col min="51" max="51" width="15.5703125" bestFit="1" customWidth="1"/>
    <col min="52" max="54" width="11.85546875" bestFit="1" customWidth="1"/>
    <col min="55" max="55" width="11.85546875" customWidth="1"/>
    <col min="56" max="56" width="14" bestFit="1" customWidth="1"/>
    <col min="57" max="57" width="11.7109375" bestFit="1" customWidth="1"/>
    <col min="58" max="58" width="11.140625" bestFit="1" customWidth="1"/>
    <col min="59" max="60" width="9.28515625" bestFit="1" customWidth="1"/>
    <col min="61" max="62" width="9.28515625" customWidth="1"/>
    <col min="63" max="65" width="9.28515625" bestFit="1" customWidth="1"/>
    <col min="66" max="66" width="12.42578125" customWidth="1"/>
    <col min="71" max="71" width="17.85546875" customWidth="1"/>
    <col min="72" max="72" width="16" customWidth="1"/>
    <col min="73" max="76" width="15" bestFit="1" customWidth="1"/>
    <col min="78" max="78" width="15" customWidth="1"/>
    <col min="79" max="79" width="16.85546875" customWidth="1"/>
    <col min="80" max="80" width="9.28515625" bestFit="1" customWidth="1"/>
    <col min="81" max="81" width="14.42578125" customWidth="1"/>
    <col min="82" max="83" width="14.7109375" customWidth="1"/>
    <col min="84" max="84" width="10.28515625" bestFit="1" customWidth="1"/>
    <col min="85" max="85" width="9.28515625" bestFit="1" customWidth="1"/>
    <col min="86" max="86" width="10.7109375" bestFit="1" customWidth="1"/>
    <col min="87" max="87" width="14.7109375" bestFit="1" customWidth="1"/>
    <col min="88" max="88" width="11.5703125" bestFit="1" customWidth="1"/>
    <col min="89" max="89" width="12.42578125" customWidth="1"/>
    <col min="90" max="90" width="14.140625" bestFit="1" customWidth="1"/>
    <col min="91" max="91" width="9.28515625" bestFit="1" customWidth="1"/>
    <col min="92" max="92" width="14.85546875" customWidth="1"/>
    <col min="94" max="94" width="23.42578125" bestFit="1" customWidth="1"/>
    <col min="95" max="96" width="10" bestFit="1" customWidth="1"/>
  </cols>
  <sheetData>
    <row r="1" spans="2:96" ht="18.75">
      <c r="CP1" s="41"/>
      <c r="CQ1" s="41" t="s">
        <v>0</v>
      </c>
      <c r="CR1" s="41" t="s">
        <v>1</v>
      </c>
    </row>
    <row r="2" spans="2:96" ht="15" customHeight="1">
      <c r="C2" s="79" t="s">
        <v>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27"/>
      <c r="W2" s="27"/>
      <c r="X2" s="27"/>
      <c r="Y2" s="77" t="s">
        <v>3</v>
      </c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28"/>
      <c r="AU2" s="28"/>
      <c r="AV2" s="81" t="s">
        <v>4</v>
      </c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CP2" s="41" t="s">
        <v>5</v>
      </c>
      <c r="CQ2" s="41">
        <f>COUNTA(CH13:CH30,CK13:CK30,CN13:CN30,CH42:CH59,CK42:CK59,CN42:CN59)</f>
        <v>35</v>
      </c>
      <c r="CR2" s="41"/>
    </row>
    <row r="3" spans="2:96" ht="15" customHeight="1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27"/>
      <c r="W3" s="27"/>
      <c r="X3" s="2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28"/>
      <c r="AU3" s="28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CP3" s="41" t="s">
        <v>6</v>
      </c>
      <c r="CQ3" s="42">
        <f>COUNTIF(CH13:CH30, "&gt;"&amp;1)+ COUNTIF(CK13:CK30, "&gt;"&amp;1) +COUNTIF(CN13:CN30, "&gt;"&amp;1)+COUNTIF(CH42:CH59, "&gt;"&amp;1)+COUNTIF(CN42:CN59, "&gt;"&amp;1)+ COUNTIF(CK42:CK59, "&gt;"&amp;1)</f>
        <v>11</v>
      </c>
      <c r="CR3" s="43">
        <f>CQ3/CQ2*100</f>
        <v>31.428571428571427</v>
      </c>
    </row>
    <row r="4" spans="2:96" ht="18.75">
      <c r="S4" s="7"/>
      <c r="T4" s="7"/>
      <c r="U4" s="7"/>
      <c r="V4" s="7"/>
      <c r="W4" s="7"/>
      <c r="X4" s="7"/>
      <c r="Y4" s="7"/>
      <c r="CP4" s="41" t="s">
        <v>7</v>
      </c>
      <c r="CQ4" s="42">
        <f>COUNTIF(CH13:CH30, "&gt;"&amp;1.2)+ COUNTIF(CK13:CK30, "&gt;"&amp;1.2) +COUNTIF(CN13:CN30, "&gt;"&amp;1.2)+COUNTIF(CH42:CH59, "&gt;"&amp;1.2)+COUNTIF(CN42:CN59, "&gt;"&amp;1.2)+COUNTIF(CK42:CK59, "&gt;"&amp;1.2)</f>
        <v>9</v>
      </c>
      <c r="CR4" s="43">
        <f>CQ4/CQ2*100</f>
        <v>25.714285714285712</v>
      </c>
    </row>
    <row r="5" spans="2:96" ht="18.75">
      <c r="S5" s="7"/>
      <c r="T5" s="7"/>
      <c r="U5" s="7"/>
      <c r="V5" s="7"/>
      <c r="W5" s="7"/>
      <c r="X5" s="7"/>
      <c r="Y5" s="7"/>
      <c r="CP5" s="41" t="s">
        <v>8</v>
      </c>
      <c r="CQ5" s="42">
        <f>CQ3-CQ4</f>
        <v>2</v>
      </c>
      <c r="CR5" s="43">
        <f>CQ5/CQ2*100</f>
        <v>5.7142857142857144</v>
      </c>
    </row>
    <row r="6" spans="2:96" ht="18.75">
      <c r="S6" s="7"/>
      <c r="T6" s="7"/>
      <c r="U6" s="7"/>
      <c r="V6" s="7"/>
      <c r="W6" s="7"/>
      <c r="X6" s="7"/>
      <c r="Y6" s="7"/>
      <c r="CP6" s="41" t="s">
        <v>9</v>
      </c>
      <c r="CQ6" s="42">
        <f>CQ2-CQ3</f>
        <v>24</v>
      </c>
      <c r="CR6" s="44">
        <f>CQ6/CQ2*100</f>
        <v>68.571428571428569</v>
      </c>
    </row>
    <row r="7" spans="2:96">
      <c r="S7" s="7"/>
      <c r="T7" s="7"/>
      <c r="U7" s="7"/>
      <c r="V7" s="7"/>
      <c r="W7" s="7"/>
      <c r="X7" s="7"/>
      <c r="Y7" s="7"/>
    </row>
    <row r="8" spans="2:96">
      <c r="S8" s="7"/>
      <c r="T8" s="7"/>
      <c r="U8" s="7"/>
      <c r="V8" s="7"/>
      <c r="W8" s="7"/>
      <c r="X8" s="7"/>
      <c r="Y8" s="7"/>
    </row>
    <row r="9" spans="2:96">
      <c r="C9" s="7" t="s">
        <v>10</v>
      </c>
      <c r="D9" s="53" t="s">
        <v>11</v>
      </c>
      <c r="S9" s="7"/>
      <c r="T9" s="7">
        <f>AVERAGE(T13:T30,T42:T59)</f>
        <v>0.35905456970041594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8" t="s">
        <v>12</v>
      </c>
      <c r="AF9" s="78"/>
      <c r="AG9" s="78"/>
      <c r="AH9" s="7"/>
      <c r="AI9" s="7"/>
      <c r="AJ9" s="7"/>
      <c r="AK9" s="7"/>
      <c r="AL9" s="7"/>
      <c r="AM9" s="7"/>
      <c r="AN9" s="7"/>
      <c r="AO9" s="7"/>
      <c r="AP9" s="7"/>
      <c r="AQ9" s="7">
        <f>AVERAGE(AQ13:AQ30,AQ42:AQ59)</f>
        <v>0.15119369929922344</v>
      </c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>
        <f>AVERAGE(BM13:BM30,BM42:BM59)</f>
        <v>0.23395912494736884</v>
      </c>
      <c r="BN9" s="7"/>
    </row>
    <row r="10" spans="2:96" ht="21">
      <c r="C10" s="1" t="s">
        <v>13</v>
      </c>
      <c r="E10" s="3"/>
      <c r="F10" s="1"/>
      <c r="G10" s="3"/>
      <c r="H10" s="3"/>
      <c r="I10" s="3"/>
      <c r="J10" s="3"/>
      <c r="K10" s="2"/>
      <c r="L10" s="3"/>
      <c r="M10" s="3"/>
      <c r="N10" s="3"/>
      <c r="Y10" s="1" t="s">
        <v>13</v>
      </c>
      <c r="Z10" s="1"/>
      <c r="AV10" s="1" t="s">
        <v>13</v>
      </c>
      <c r="AY10" s="1"/>
      <c r="BS10" s="73" t="s">
        <v>2</v>
      </c>
      <c r="BT10" s="73"/>
      <c r="BU10" s="74" t="s">
        <v>3</v>
      </c>
      <c r="BV10" s="74"/>
      <c r="BW10" s="72" t="s">
        <v>4</v>
      </c>
      <c r="BX10" s="72"/>
      <c r="CF10" s="73" t="s">
        <v>2</v>
      </c>
      <c r="CG10" s="73"/>
      <c r="CH10" s="73"/>
      <c r="CI10" s="74" t="s">
        <v>3</v>
      </c>
      <c r="CJ10" s="74"/>
      <c r="CK10" s="74"/>
      <c r="CL10" s="72" t="s">
        <v>4</v>
      </c>
      <c r="CM10" s="72"/>
      <c r="CN10" s="72"/>
    </row>
    <row r="11" spans="2:96" ht="46.5">
      <c r="C11" s="13" t="s">
        <v>14</v>
      </c>
      <c r="D11" s="13" t="s">
        <v>15</v>
      </c>
      <c r="E11" s="8" t="s">
        <v>16</v>
      </c>
      <c r="F11" s="14" t="s">
        <v>17</v>
      </c>
      <c r="G11" s="14" t="s">
        <v>18</v>
      </c>
      <c r="H11" s="14" t="s">
        <v>19</v>
      </c>
      <c r="I11" s="14" t="s">
        <v>20</v>
      </c>
      <c r="J11" s="55" t="s">
        <v>21</v>
      </c>
      <c r="K11" s="14" t="s">
        <v>22</v>
      </c>
      <c r="L11" s="14" t="s">
        <v>23</v>
      </c>
      <c r="M11" s="4" t="s">
        <v>24</v>
      </c>
      <c r="N11" s="34" t="s">
        <v>25</v>
      </c>
      <c r="O11" s="34" t="s">
        <v>26</v>
      </c>
      <c r="P11" s="34" t="s">
        <v>27</v>
      </c>
      <c r="Q11" s="34" t="s">
        <v>28</v>
      </c>
      <c r="R11" s="34" t="s">
        <v>29</v>
      </c>
      <c r="S11" s="34" t="s">
        <v>30</v>
      </c>
      <c r="T11" s="34" t="s">
        <v>31</v>
      </c>
      <c r="U11" s="34" t="s">
        <v>32</v>
      </c>
      <c r="W11" s="34" t="s">
        <v>33</v>
      </c>
      <c r="Y11" s="13" t="s">
        <v>14</v>
      </c>
      <c r="Z11" s="13" t="s">
        <v>15</v>
      </c>
      <c r="AA11" s="8" t="s">
        <v>16</v>
      </c>
      <c r="AB11" s="14" t="s">
        <v>17</v>
      </c>
      <c r="AC11" s="14" t="s">
        <v>18</v>
      </c>
      <c r="AD11" s="14" t="s">
        <v>19</v>
      </c>
      <c r="AE11" s="14" t="s">
        <v>20</v>
      </c>
      <c r="AF11" s="14" t="s">
        <v>34</v>
      </c>
      <c r="AG11" s="55" t="s">
        <v>21</v>
      </c>
      <c r="AH11" s="14" t="s">
        <v>22</v>
      </c>
      <c r="AI11" s="14" t="s">
        <v>23</v>
      </c>
      <c r="AJ11" s="4" t="s">
        <v>24</v>
      </c>
      <c r="AK11" s="34" t="s">
        <v>25</v>
      </c>
      <c r="AL11" s="34" t="s">
        <v>26</v>
      </c>
      <c r="AM11" s="34" t="s">
        <v>27</v>
      </c>
      <c r="AN11" s="34" t="s">
        <v>28</v>
      </c>
      <c r="AO11" s="34" t="s">
        <v>29</v>
      </c>
      <c r="AP11" s="34" t="s">
        <v>30</v>
      </c>
      <c r="AQ11" s="34" t="s">
        <v>31</v>
      </c>
      <c r="AR11" s="34" t="s">
        <v>32</v>
      </c>
      <c r="AT11" s="34" t="s">
        <v>33</v>
      </c>
      <c r="AU11" s="19"/>
      <c r="AV11" s="13" t="s">
        <v>14</v>
      </c>
      <c r="AW11" s="13" t="s">
        <v>15</v>
      </c>
      <c r="AX11" s="8" t="s">
        <v>16</v>
      </c>
      <c r="AY11" s="14" t="s">
        <v>17</v>
      </c>
      <c r="AZ11" s="14" t="s">
        <v>18</v>
      </c>
      <c r="BA11" s="14" t="s">
        <v>19</v>
      </c>
      <c r="BB11" s="14" t="s">
        <v>20</v>
      </c>
      <c r="BC11" s="55" t="s">
        <v>21</v>
      </c>
      <c r="BD11" s="14" t="s">
        <v>22</v>
      </c>
      <c r="BE11" s="14" t="s">
        <v>23</v>
      </c>
      <c r="BF11" s="4" t="s">
        <v>24</v>
      </c>
      <c r="BG11" s="34" t="s">
        <v>25</v>
      </c>
      <c r="BH11" s="34" t="s">
        <v>26</v>
      </c>
      <c r="BI11" s="34" t="s">
        <v>27</v>
      </c>
      <c r="BJ11" s="34" t="s">
        <v>28</v>
      </c>
      <c r="BK11" s="34" t="s">
        <v>29</v>
      </c>
      <c r="BL11" s="34" t="s">
        <v>30</v>
      </c>
      <c r="BM11" s="34" t="s">
        <v>31</v>
      </c>
      <c r="BN11" s="34" t="s">
        <v>32</v>
      </c>
      <c r="BP11" s="34" t="s">
        <v>33</v>
      </c>
      <c r="BQ11" s="11"/>
      <c r="BR11" s="11"/>
      <c r="BS11" s="30" t="s">
        <v>35</v>
      </c>
      <c r="BT11" s="30" t="s">
        <v>36</v>
      </c>
      <c r="BU11" s="30" t="s">
        <v>35</v>
      </c>
      <c r="BV11" s="30" t="s">
        <v>36</v>
      </c>
      <c r="BW11" s="30" t="s">
        <v>35</v>
      </c>
      <c r="BX11" s="30" t="s">
        <v>36</v>
      </c>
      <c r="BZ11" s="30" t="s">
        <v>37</v>
      </c>
      <c r="CA11" s="30" t="s">
        <v>38</v>
      </c>
      <c r="CB11" s="30" t="s">
        <v>39</v>
      </c>
      <c r="CC11" s="30" t="s">
        <v>40</v>
      </c>
      <c r="CD11" s="30" t="s">
        <v>41</v>
      </c>
      <c r="CE11" s="31"/>
      <c r="CF11" s="30" t="s">
        <v>42</v>
      </c>
      <c r="CG11" s="30" t="s">
        <v>43</v>
      </c>
      <c r="CH11" s="30" t="s">
        <v>44</v>
      </c>
      <c r="CI11" s="30" t="s">
        <v>42</v>
      </c>
      <c r="CJ11" s="30" t="s">
        <v>43</v>
      </c>
      <c r="CK11" s="30" t="s">
        <v>44</v>
      </c>
      <c r="CL11" s="30" t="s">
        <v>42</v>
      </c>
      <c r="CM11" s="30" t="s">
        <v>43</v>
      </c>
      <c r="CN11" s="30" t="s">
        <v>44</v>
      </c>
      <c r="CO11" s="31"/>
    </row>
    <row r="12" spans="2:96">
      <c r="C12" s="51" t="s">
        <v>45</v>
      </c>
      <c r="D12" s="15" t="s">
        <v>45</v>
      </c>
      <c r="E12" s="16" t="s">
        <v>45</v>
      </c>
      <c r="F12" s="17" t="s">
        <v>46</v>
      </c>
      <c r="G12" s="17" t="s">
        <v>47</v>
      </c>
      <c r="H12" s="17" t="s">
        <v>48</v>
      </c>
      <c r="I12" s="17" t="s">
        <v>49</v>
      </c>
      <c r="J12" s="56" t="s">
        <v>45</v>
      </c>
      <c r="K12" s="17" t="s">
        <v>46</v>
      </c>
      <c r="L12" s="17" t="s">
        <v>50</v>
      </c>
      <c r="M12" s="5" t="s">
        <v>50</v>
      </c>
      <c r="N12" s="35" t="s">
        <v>50</v>
      </c>
      <c r="O12" s="36"/>
      <c r="P12" s="36"/>
      <c r="Q12" s="36"/>
      <c r="R12" s="37" t="s">
        <v>50</v>
      </c>
      <c r="S12" s="22" t="s">
        <v>50</v>
      </c>
      <c r="T12" s="22" t="s">
        <v>50</v>
      </c>
      <c r="U12" s="22" t="s">
        <v>46</v>
      </c>
      <c r="W12" s="22" t="s">
        <v>45</v>
      </c>
      <c r="Y12" s="51" t="s">
        <v>45</v>
      </c>
      <c r="Z12" s="15" t="s">
        <v>45</v>
      </c>
      <c r="AA12" s="16" t="s">
        <v>45</v>
      </c>
      <c r="AB12" s="17" t="s">
        <v>46</v>
      </c>
      <c r="AC12" s="17" t="s">
        <v>47</v>
      </c>
      <c r="AD12" s="17" t="s">
        <v>48</v>
      </c>
      <c r="AE12" s="17" t="s">
        <v>49</v>
      </c>
      <c r="AF12" s="17" t="s">
        <v>51</v>
      </c>
      <c r="AG12" s="56" t="s">
        <v>45</v>
      </c>
      <c r="AH12" s="17" t="s">
        <v>46</v>
      </c>
      <c r="AI12" s="17" t="s">
        <v>50</v>
      </c>
      <c r="AJ12" s="5" t="s">
        <v>50</v>
      </c>
      <c r="AK12" s="35" t="s">
        <v>50</v>
      </c>
      <c r="AL12" s="36"/>
      <c r="AM12" s="36"/>
      <c r="AN12" s="36"/>
      <c r="AO12" s="37" t="s">
        <v>50</v>
      </c>
      <c r="AP12" s="22" t="s">
        <v>50</v>
      </c>
      <c r="AQ12" s="22" t="s">
        <v>50</v>
      </c>
      <c r="AR12" s="22" t="s">
        <v>46</v>
      </c>
      <c r="AT12" s="22" t="s">
        <v>45</v>
      </c>
      <c r="AU12" s="20"/>
      <c r="AV12" s="51" t="s">
        <v>45</v>
      </c>
      <c r="AW12" s="15" t="s">
        <v>45</v>
      </c>
      <c r="AX12" s="16" t="s">
        <v>45</v>
      </c>
      <c r="AY12" s="17" t="s">
        <v>46</v>
      </c>
      <c r="AZ12" s="17" t="s">
        <v>47</v>
      </c>
      <c r="BA12" s="17" t="s">
        <v>48</v>
      </c>
      <c r="BB12" s="17" t="s">
        <v>49</v>
      </c>
      <c r="BC12" s="56" t="s">
        <v>45</v>
      </c>
      <c r="BD12" s="17" t="s">
        <v>46</v>
      </c>
      <c r="BE12" s="17" t="s">
        <v>50</v>
      </c>
      <c r="BF12" s="5" t="s">
        <v>50</v>
      </c>
      <c r="BG12" s="35" t="s">
        <v>50</v>
      </c>
      <c r="BH12" s="36"/>
      <c r="BI12" s="36"/>
      <c r="BJ12" s="36"/>
      <c r="BK12" s="37" t="s">
        <v>50</v>
      </c>
      <c r="BL12" s="22" t="s">
        <v>50</v>
      </c>
      <c r="BM12" s="22" t="s">
        <v>50</v>
      </c>
      <c r="BN12" s="22" t="s">
        <v>46</v>
      </c>
      <c r="BP12" s="22" t="s">
        <v>45</v>
      </c>
      <c r="BQ12" s="39"/>
      <c r="BR12" s="39"/>
      <c r="BS12" s="29"/>
      <c r="BT12" s="29"/>
      <c r="BU12" s="29"/>
      <c r="BV12" s="29"/>
      <c r="BW12" s="29"/>
      <c r="BX12" s="29"/>
      <c r="BZ12" s="29" t="s">
        <v>45</v>
      </c>
      <c r="CA12" s="29" t="s">
        <v>46</v>
      </c>
      <c r="CB12" s="29" t="s">
        <v>50</v>
      </c>
      <c r="CC12" s="29"/>
      <c r="CD12" s="29"/>
      <c r="CE12" s="32"/>
      <c r="CF12" s="29"/>
      <c r="CG12" s="29"/>
      <c r="CH12" s="29" t="s">
        <v>50</v>
      </c>
      <c r="CI12" s="29"/>
      <c r="CJ12" s="29"/>
      <c r="CK12" s="29" t="s">
        <v>50</v>
      </c>
      <c r="CL12" s="29"/>
      <c r="CM12" s="29"/>
      <c r="CN12" s="29" t="s">
        <v>50</v>
      </c>
      <c r="CO12" s="32"/>
    </row>
    <row r="13" spans="2:96">
      <c r="B13" s="46"/>
      <c r="C13" s="10" t="s">
        <v>52</v>
      </c>
      <c r="D13" s="54">
        <v>45483.418159722198</v>
      </c>
      <c r="E13" s="9">
        <v>4</v>
      </c>
      <c r="F13" s="47">
        <v>398.03891171860101</v>
      </c>
      <c r="G13" s="47">
        <v>31.475208876033829</v>
      </c>
      <c r="H13" s="47">
        <v>20.038104017160801</v>
      </c>
      <c r="I13" s="47">
        <v>70.304163761073099</v>
      </c>
      <c r="J13" s="57">
        <v>6383750.43646558</v>
      </c>
      <c r="K13" s="47">
        <v>399.675963531609</v>
      </c>
      <c r="L13" s="48">
        <f t="shared" ref="L13:L30" si="0">(K13-F13)/F13*100</f>
        <v>0.41127934099199875</v>
      </c>
      <c r="M13" s="6">
        <v>0.35</v>
      </c>
      <c r="N13" s="76">
        <f>AVERAGE(L13:L15)</f>
        <v>0.43579130479356598</v>
      </c>
      <c r="O13" s="68">
        <f>STDEV(L13:L15)</f>
        <v>2.1300729152585744E-2</v>
      </c>
      <c r="P13" s="68">
        <f>COUNT(M13:M15)</f>
        <v>3</v>
      </c>
      <c r="Q13" s="67">
        <f>TINV(0.05,P13-1)</f>
        <v>4.3026527297494637</v>
      </c>
      <c r="R13" s="67">
        <f>O13*Q13/SQRT(P13)</f>
        <v>5.2913944575717915E-2</v>
      </c>
      <c r="S13" s="68">
        <f>AVERAGE(M13:M15)</f>
        <v>0.34999999999999992</v>
      </c>
      <c r="T13" s="68">
        <f>SQRT(R13^2+S13^2)</f>
        <v>0.35397723871820075</v>
      </c>
      <c r="U13" s="70">
        <f>AVERAGE(F13:F15)</f>
        <v>397.95551089259499</v>
      </c>
      <c r="W13" s="80">
        <f>AVERAGE(J13:J15)</f>
        <v>6382062.5988686234</v>
      </c>
      <c r="Y13" s="10" t="s">
        <v>52</v>
      </c>
      <c r="Z13" s="62">
        <v>45727</v>
      </c>
      <c r="AA13" s="59"/>
      <c r="AB13" s="63">
        <v>323.22491486993323</v>
      </c>
      <c r="AC13" s="64">
        <v>31.035375152587889</v>
      </c>
      <c r="AD13" s="65">
        <v>21.807106018066406</v>
      </c>
      <c r="AE13" s="60">
        <v>68.1410497066</v>
      </c>
      <c r="AF13" s="61">
        <v>1.5338567760700001E-5</v>
      </c>
      <c r="AG13" s="61">
        <f>4*AE13*(AH13/3600)/(0.1016*PI()*AF13)</f>
        <v>4999634.9009093177</v>
      </c>
      <c r="AH13" s="65">
        <v>323.29602943430933</v>
      </c>
      <c r="AI13" s="48">
        <f t="shared" ref="AI13:AI27" si="1">(AH13-AB13)/AB13*100</f>
        <v>2.2001572621565886E-2</v>
      </c>
      <c r="AJ13" s="52">
        <v>0.15</v>
      </c>
      <c r="AK13" s="76">
        <f>AVERAGE(AI13:AI15)</f>
        <v>2.9001824808290898E-2</v>
      </c>
      <c r="AL13" s="68">
        <f>STDEV(AI13:AI15)</f>
        <v>6.3611280759000707E-3</v>
      </c>
      <c r="AM13" s="68">
        <f>COUNT(AJ13:AJ15)</f>
        <v>3</v>
      </c>
      <c r="AN13" s="67">
        <f>TINV(0.05,AM13-1)</f>
        <v>4.3026527297494637</v>
      </c>
      <c r="AO13" s="67">
        <f>AL13*AN13/SQRT(AM13)</f>
        <v>1.5801918142617187E-2</v>
      </c>
      <c r="AP13" s="70">
        <f>AVERAGE(AJ13:AJ15)</f>
        <v>0.15</v>
      </c>
      <c r="AQ13" s="68">
        <f>SQRT(AO13^2+AP13^2)</f>
        <v>0.15083003884169086</v>
      </c>
      <c r="AR13" s="70">
        <f>AVERAGE(AB13:AB15)</f>
        <v>323.27790063771101</v>
      </c>
      <c r="AT13" s="80">
        <f>AVERAGE(AG13:AG15)</f>
        <v>5013679.1790019386</v>
      </c>
      <c r="AV13" s="10" t="s">
        <v>52</v>
      </c>
      <c r="AW13" s="58">
        <v>45670.49359953704</v>
      </c>
      <c r="AX13" s="59">
        <v>1.1000000000000001</v>
      </c>
      <c r="AY13" s="47">
        <v>386.86002408906734</v>
      </c>
      <c r="AZ13" s="47">
        <v>29.368601778123644</v>
      </c>
      <c r="BA13" s="47">
        <v>24.656124332775921</v>
      </c>
      <c r="BB13" s="47">
        <v>62.493014533170943</v>
      </c>
      <c r="BC13" s="47">
        <v>5759467.7450521374</v>
      </c>
      <c r="BD13" s="47">
        <v>387.25650472324412</v>
      </c>
      <c r="BE13" s="48">
        <f t="shared" ref="BE13:BE30" si="2">(BD13-AY13)/AY13*100</f>
        <v>0.10248684523824056</v>
      </c>
      <c r="BF13" s="52">
        <v>0.21791474289087207</v>
      </c>
      <c r="BG13" s="76">
        <f>AVERAGE(BE13:BE15)</f>
        <v>0.10389816107058951</v>
      </c>
      <c r="BH13" s="68">
        <f>STDEV(BE13:BE15)</f>
        <v>8.5514528250979719E-3</v>
      </c>
      <c r="BI13" s="68">
        <f>COUNT(BF13:BF15)</f>
        <v>3</v>
      </c>
      <c r="BJ13" s="67">
        <f>TINV(0.05,BI13-1)</f>
        <v>4.3026527297494637</v>
      </c>
      <c r="BK13" s="67">
        <f>BH13*BJ13/SQRT(BI13)</f>
        <v>2.124298645307978E-2</v>
      </c>
      <c r="BL13" s="68">
        <f>AVERAGE(BF13:BF15)</f>
        <v>0.21795819721321522</v>
      </c>
      <c r="BM13" s="68">
        <f>SQRT(BK13^2+BL13^2)</f>
        <v>0.21899095918754397</v>
      </c>
      <c r="BN13" s="70">
        <f>AVERAGE(AY13:AY15)</f>
        <v>386.7582242980273</v>
      </c>
      <c r="BP13" s="80">
        <f>AVERAGE(BC13:BC15)</f>
        <v>5761967.6687396728</v>
      </c>
      <c r="BQ13" s="38"/>
      <c r="BR13" s="38"/>
      <c r="BS13" s="68">
        <f>N13*BT13</f>
        <v>3.4779864558397504</v>
      </c>
      <c r="BT13" s="68">
        <f>1/T13^2</f>
        <v>7.9808532606846523</v>
      </c>
      <c r="BU13" s="68">
        <f>AK13*BV13</f>
        <v>1.2748222623482264</v>
      </c>
      <c r="BV13" s="68">
        <f>1/AQ13^2</f>
        <v>43.956622411696884</v>
      </c>
      <c r="BW13" s="68">
        <f>BG13*BX13</f>
        <v>2.166484016206017</v>
      </c>
      <c r="BX13" s="68">
        <f>1/BM13^2</f>
        <v>20.851995780118617</v>
      </c>
      <c r="BZ13" s="69">
        <f>AVERAGE(W13,AT13,BP13)</f>
        <v>5719236.4822034119</v>
      </c>
      <c r="CA13" s="70">
        <f>AVERAGE(U13,AR13,BN13)</f>
        <v>369.33054527611108</v>
      </c>
      <c r="CB13" s="68">
        <f>SUM(BS13,BU13,BW13)/SUM(BT13,BV13,BX13)</f>
        <v>9.5058977573553069E-2</v>
      </c>
      <c r="CC13" s="68">
        <f>SUM(BT13,BV13,BX13)</f>
        <v>72.789471452500152</v>
      </c>
      <c r="CD13" s="68">
        <f>SQRT(CC13^-1)</f>
        <v>0.11721028368696325</v>
      </c>
      <c r="CF13" s="67">
        <f>N13-CB13</f>
        <v>0.3407323272200129</v>
      </c>
      <c r="CG13" s="67">
        <f>SQRT(T13^2-CD13^2)</f>
        <v>0.3340084354153105</v>
      </c>
      <c r="CH13" s="71">
        <f>ABS(CF13/CG13)</f>
        <v>1.0201309041681592</v>
      </c>
      <c r="CI13" s="67">
        <f>AK13-CB13</f>
        <v>-6.6057152765262167E-2</v>
      </c>
      <c r="CJ13" s="67">
        <f>SQRT(AQ13^2-CD13^2)</f>
        <v>9.4928657501344493E-2</v>
      </c>
      <c r="CK13" s="71">
        <f>ABS(CI13/CJ13)</f>
        <v>0.69586102346729795</v>
      </c>
      <c r="CL13" s="75">
        <f>BG13-CB13</f>
        <v>8.8391834970364402E-3</v>
      </c>
      <c r="CM13" s="67">
        <f>SQRT(BM13^2-CD13^2)</f>
        <v>0.18498321438417634</v>
      </c>
      <c r="CN13" s="71">
        <f>ABS(CL13/CM13)</f>
        <v>4.7783705816026478E-2</v>
      </c>
    </row>
    <row r="14" spans="2:96">
      <c r="B14" s="46"/>
      <c r="C14" s="10" t="s">
        <v>52</v>
      </c>
      <c r="D14" s="54">
        <v>45483.424803240698</v>
      </c>
      <c r="E14" s="9">
        <v>5</v>
      </c>
      <c r="F14" s="47">
        <v>397.88300557499002</v>
      </c>
      <c r="G14" s="47">
        <v>31.486416637192722</v>
      </c>
      <c r="H14" s="47">
        <v>20.0915847964209</v>
      </c>
      <c r="I14" s="47">
        <v>70.310583336183001</v>
      </c>
      <c r="J14" s="57">
        <v>6380661.4545007497</v>
      </c>
      <c r="K14" s="47">
        <v>399.67270801339703</v>
      </c>
      <c r="L14" s="48">
        <f t="shared" si="0"/>
        <v>0.44980620266016746</v>
      </c>
      <c r="M14" s="6">
        <v>0.35</v>
      </c>
      <c r="N14" s="76"/>
      <c r="O14" s="68"/>
      <c r="P14" s="68"/>
      <c r="Q14" s="67"/>
      <c r="R14" s="67"/>
      <c r="S14" s="68"/>
      <c r="T14" s="68"/>
      <c r="U14" s="70"/>
      <c r="W14" s="80"/>
      <c r="Y14" s="10" t="s">
        <v>52</v>
      </c>
      <c r="Z14" s="62">
        <v>45727</v>
      </c>
      <c r="AA14" s="59"/>
      <c r="AB14" s="63">
        <v>323.32575286907866</v>
      </c>
      <c r="AC14" s="64">
        <v>31.058970233917236</v>
      </c>
      <c r="AD14" s="65">
        <v>21.694111824035645</v>
      </c>
      <c r="AE14" s="60">
        <v>68.473966906300006</v>
      </c>
      <c r="AF14" s="61">
        <v>1.5336450119099999E-5</v>
      </c>
      <c r="AG14" s="61">
        <f t="shared" ref="AG14:AG27" si="3">4*AE14*(AH14/3600)/(0.1016*PI()*AF14)</f>
        <v>5026947.44217759</v>
      </c>
      <c r="AH14" s="65">
        <v>323.43706883335892</v>
      </c>
      <c r="AI14" s="48">
        <f t="shared" si="1"/>
        <v>3.442842498393249E-2</v>
      </c>
      <c r="AJ14" s="52">
        <v>0.15</v>
      </c>
      <c r="AK14" s="76"/>
      <c r="AL14" s="68"/>
      <c r="AM14" s="68"/>
      <c r="AN14" s="67"/>
      <c r="AO14" s="67"/>
      <c r="AP14" s="68"/>
      <c r="AQ14" s="68"/>
      <c r="AR14" s="70"/>
      <c r="AT14" s="80"/>
      <c r="AV14" s="10" t="s">
        <v>52</v>
      </c>
      <c r="AW14" s="58">
        <v>45670.495081018518</v>
      </c>
      <c r="AX14" s="59">
        <v>1.2</v>
      </c>
      <c r="AY14" s="47">
        <v>386.79774859020324</v>
      </c>
      <c r="AZ14" s="47">
        <v>29.369048873918057</v>
      </c>
      <c r="BA14" s="47">
        <v>24.567294755221386</v>
      </c>
      <c r="BB14" s="47">
        <v>62.52277332651407</v>
      </c>
      <c r="BC14" s="47">
        <v>5762155.9683912629</v>
      </c>
      <c r="BD14" s="47">
        <v>387.1696165730994</v>
      </c>
      <c r="BE14" s="48">
        <f t="shared" si="2"/>
        <v>9.6140162204031307E-2</v>
      </c>
      <c r="BF14" s="52">
        <v>0.21786372752062003</v>
      </c>
      <c r="BG14" s="76"/>
      <c r="BH14" s="68"/>
      <c r="BI14" s="68"/>
      <c r="BJ14" s="67"/>
      <c r="BK14" s="67"/>
      <c r="BL14" s="68"/>
      <c r="BM14" s="68"/>
      <c r="BN14" s="70"/>
      <c r="BP14" s="80"/>
      <c r="BQ14" s="33"/>
      <c r="BR14" s="33"/>
      <c r="BS14" s="68"/>
      <c r="BT14" s="68"/>
      <c r="BU14" s="68"/>
      <c r="BV14" s="68"/>
      <c r="BW14" s="68"/>
      <c r="BX14" s="68"/>
      <c r="BZ14" s="69"/>
      <c r="CA14" s="70"/>
      <c r="CB14" s="68"/>
      <c r="CC14" s="68"/>
      <c r="CD14" s="68"/>
      <c r="CF14" s="67"/>
      <c r="CG14" s="67"/>
      <c r="CH14" s="71"/>
      <c r="CI14" s="67"/>
      <c r="CJ14" s="67"/>
      <c r="CK14" s="71"/>
      <c r="CL14" s="75"/>
      <c r="CM14" s="67"/>
      <c r="CN14" s="71"/>
    </row>
    <row r="15" spans="2:96">
      <c r="B15" s="46"/>
      <c r="C15" s="10" t="s">
        <v>52</v>
      </c>
      <c r="D15" s="54">
        <v>45483.431793981501</v>
      </c>
      <c r="E15" s="9">
        <v>6</v>
      </c>
      <c r="F15" s="47">
        <v>397.94461538419398</v>
      </c>
      <c r="G15" s="47">
        <v>31.489784373845886</v>
      </c>
      <c r="H15" s="47">
        <v>20.102981848275601</v>
      </c>
      <c r="I15" s="47">
        <v>70.314897007863607</v>
      </c>
      <c r="J15" s="57">
        <v>6381775.9056395404</v>
      </c>
      <c r="K15" s="47">
        <v>399.72059592459402</v>
      </c>
      <c r="L15" s="48">
        <f t="shared" si="0"/>
        <v>0.44628837072853178</v>
      </c>
      <c r="M15" s="6">
        <v>0.35</v>
      </c>
      <c r="N15" s="76"/>
      <c r="O15" s="68"/>
      <c r="P15" s="68"/>
      <c r="Q15" s="67"/>
      <c r="R15" s="67"/>
      <c r="S15" s="68"/>
      <c r="T15" s="68"/>
      <c r="U15" s="70"/>
      <c r="W15" s="80"/>
      <c r="Y15" s="10" t="s">
        <v>52</v>
      </c>
      <c r="Z15" s="62">
        <v>45727</v>
      </c>
      <c r="AA15" s="59"/>
      <c r="AB15" s="63">
        <v>323.2830341741211</v>
      </c>
      <c r="AC15" s="64">
        <v>31.087866802215576</v>
      </c>
      <c r="AD15" s="65">
        <v>21.925368309020996</v>
      </c>
      <c r="AE15" s="60">
        <v>68.365631701200002</v>
      </c>
      <c r="AF15" s="61">
        <v>1.53477129072E-5</v>
      </c>
      <c r="AG15" s="61">
        <f t="shared" si="3"/>
        <v>5014455.1939189089</v>
      </c>
      <c r="AH15" s="65">
        <v>323.38187950329598</v>
      </c>
      <c r="AI15" s="48">
        <f t="shared" si="1"/>
        <v>3.0575476819374309E-2</v>
      </c>
      <c r="AJ15" s="52">
        <v>0.15</v>
      </c>
      <c r="AK15" s="76"/>
      <c r="AL15" s="68"/>
      <c r="AM15" s="68"/>
      <c r="AN15" s="67"/>
      <c r="AO15" s="67"/>
      <c r="AP15" s="68"/>
      <c r="AQ15" s="68"/>
      <c r="AR15" s="70"/>
      <c r="AT15" s="80"/>
      <c r="AV15" s="10" t="s">
        <v>52</v>
      </c>
      <c r="AW15" s="58">
        <v>45670.499537037038</v>
      </c>
      <c r="AX15" s="59">
        <v>1.3</v>
      </c>
      <c r="AY15" s="47">
        <v>386.61690021481144</v>
      </c>
      <c r="AZ15" s="47">
        <v>29.366226698598403</v>
      </c>
      <c r="BA15" s="47">
        <v>24.462689590301004</v>
      </c>
      <c r="BB15" s="47">
        <v>62.5601494075486</v>
      </c>
      <c r="BC15" s="47">
        <v>5764279.2927756179</v>
      </c>
      <c r="BD15" s="47">
        <v>387.0540381847826</v>
      </c>
      <c r="BE15" s="48">
        <f t="shared" si="2"/>
        <v>0.11306747576949668</v>
      </c>
      <c r="BF15" s="52">
        <v>0.21809612122815358</v>
      </c>
      <c r="BG15" s="76"/>
      <c r="BH15" s="68"/>
      <c r="BI15" s="68"/>
      <c r="BJ15" s="67"/>
      <c r="BK15" s="67"/>
      <c r="BL15" s="68"/>
      <c r="BM15" s="68"/>
      <c r="BN15" s="70"/>
      <c r="BP15" s="80"/>
      <c r="BQ15" s="33"/>
      <c r="BR15" s="33"/>
      <c r="BS15" s="68"/>
      <c r="BT15" s="68"/>
      <c r="BU15" s="68"/>
      <c r="BV15" s="68"/>
      <c r="BW15" s="68"/>
      <c r="BX15" s="68"/>
      <c r="BZ15" s="69"/>
      <c r="CA15" s="70"/>
      <c r="CB15" s="68"/>
      <c r="CC15" s="68"/>
      <c r="CD15" s="68"/>
      <c r="CF15" s="67"/>
      <c r="CG15" s="67"/>
      <c r="CH15" s="71"/>
      <c r="CI15" s="67"/>
      <c r="CJ15" s="67"/>
      <c r="CK15" s="71"/>
      <c r="CL15" s="75"/>
      <c r="CM15" s="67"/>
      <c r="CN15" s="71"/>
    </row>
    <row r="16" spans="2:96">
      <c r="B16" s="46"/>
      <c r="C16" s="10" t="s">
        <v>52</v>
      </c>
      <c r="D16" s="54">
        <v>45483.449826388904</v>
      </c>
      <c r="E16" s="9">
        <v>7</v>
      </c>
      <c r="F16" s="47">
        <v>278.783550767826</v>
      </c>
      <c r="G16" s="47">
        <v>31.484128394134267</v>
      </c>
      <c r="H16" s="47">
        <v>20.2379252041919</v>
      </c>
      <c r="I16" s="47">
        <v>70.233628238219495</v>
      </c>
      <c r="J16" s="57">
        <v>4463932.9327234998</v>
      </c>
      <c r="K16" s="47">
        <v>279.86171668241002</v>
      </c>
      <c r="L16" s="48">
        <f t="shared" si="0"/>
        <v>0.38673942978864195</v>
      </c>
      <c r="M16" s="6">
        <v>0.35</v>
      </c>
      <c r="N16" s="76">
        <f t="shared" ref="N16" si="4">AVERAGE(L16:L18)</f>
        <v>0.40697778375648092</v>
      </c>
      <c r="O16" s="68">
        <f t="shared" ref="O16" si="5">STDEV(L16:L18)</f>
        <v>3.8780113233555999E-2</v>
      </c>
      <c r="P16" s="68">
        <f t="shared" ref="P16" si="6">COUNT(M16:M18)</f>
        <v>3</v>
      </c>
      <c r="Q16" s="67">
        <f t="shared" ref="Q16" si="7">TINV(0.05,P16-1)</f>
        <v>4.3026527297494637</v>
      </c>
      <c r="R16" s="67">
        <f t="shared" ref="R16" si="8">O16*Q16/SQRT(P16)</f>
        <v>9.6335141749424522E-2</v>
      </c>
      <c r="S16" s="68">
        <f t="shared" ref="S16" si="9">AVERAGE(M16:M18)</f>
        <v>0.34999999999999992</v>
      </c>
      <c r="T16" s="68">
        <f t="shared" ref="T16" si="10">SQRT(R16^2+S16^2)</f>
        <v>0.36301578414151864</v>
      </c>
      <c r="U16" s="70">
        <f>AVERAGE(F16:F18)</f>
        <v>278.70407429042331</v>
      </c>
      <c r="W16" s="80">
        <f t="shared" ref="W16" si="11">AVERAGE(J16:J18)</f>
        <v>4463186.6971721873</v>
      </c>
      <c r="Y16" s="10" t="s">
        <v>52</v>
      </c>
      <c r="Z16" s="62">
        <v>45727</v>
      </c>
      <c r="AA16" s="59"/>
      <c r="AB16" s="63">
        <v>282.22599743319779</v>
      </c>
      <c r="AC16" s="64">
        <v>31.144735422134399</v>
      </c>
      <c r="AD16" s="65">
        <v>22.005194187164307</v>
      </c>
      <c r="AE16" s="60">
        <v>68.329639427800004</v>
      </c>
      <c r="AF16" s="61">
        <v>1.5351467423199998E-5</v>
      </c>
      <c r="AG16" s="61">
        <f t="shared" si="3"/>
        <v>4379579.1631024778</v>
      </c>
      <c r="AH16" s="65">
        <v>282.65666940755091</v>
      </c>
      <c r="AI16" s="48">
        <f t="shared" si="1"/>
        <v>0.15259826460709261</v>
      </c>
      <c r="AJ16" s="52">
        <v>0.15</v>
      </c>
      <c r="AK16" s="76">
        <f t="shared" ref="AK16" si="12">AVERAGE(AI16:AI18)</f>
        <v>0.15409850324290753</v>
      </c>
      <c r="AL16" s="68">
        <f t="shared" ref="AL16" si="13">STDEV(AI16:AI18)</f>
        <v>7.2008392807906066E-3</v>
      </c>
      <c r="AM16" s="68">
        <f t="shared" ref="AM16" si="14">COUNT(AJ16:AJ18)</f>
        <v>3</v>
      </c>
      <c r="AN16" s="67">
        <f t="shared" ref="AN16" si="15">TINV(0.05,AM16-1)</f>
        <v>4.3026527297494637</v>
      </c>
      <c r="AO16" s="67">
        <f t="shared" ref="AO16" si="16">AL16*AN16/SQRT(AM16)</f>
        <v>1.7887876413665078E-2</v>
      </c>
      <c r="AP16" s="68">
        <f t="shared" ref="AP16" si="17">AVERAGE(AJ16:AJ18)</f>
        <v>0.15</v>
      </c>
      <c r="AQ16" s="68">
        <f t="shared" ref="AQ16" si="18">SQRT(AO16^2+AP16^2)</f>
        <v>0.15106282177488461</v>
      </c>
      <c r="AR16" s="70">
        <f>AVERAGE(AB16:AB18)</f>
        <v>282.18253091897736</v>
      </c>
      <c r="AT16" s="80">
        <f t="shared" ref="AT16" si="19">AVERAGE(AG16:AG18)</f>
        <v>4385119.678611164</v>
      </c>
      <c r="AV16" s="10" t="s">
        <v>52</v>
      </c>
      <c r="AW16" s="58">
        <v>45670.512453703705</v>
      </c>
      <c r="AX16" s="59">
        <v>3.1</v>
      </c>
      <c r="AY16" s="47">
        <v>272.87542681129975</v>
      </c>
      <c r="AZ16" s="47">
        <v>31.015450627843407</v>
      </c>
      <c r="BA16" s="47">
        <v>25.928946471571908</v>
      </c>
      <c r="BB16" s="47">
        <v>66.31407361413109</v>
      </c>
      <c r="BC16" s="47">
        <v>4258595.5765080331</v>
      </c>
      <c r="BD16" s="47">
        <v>273.10035131438127</v>
      </c>
      <c r="BE16" s="48">
        <f t="shared" si="2"/>
        <v>8.242754054840766E-2</v>
      </c>
      <c r="BF16" s="52">
        <v>0.21786678412993291</v>
      </c>
      <c r="BG16" s="76">
        <f t="shared" ref="BG16" si="20">AVERAGE(BE16:BE18)</f>
        <v>8.3696180521957861E-2</v>
      </c>
      <c r="BH16" s="68">
        <f t="shared" ref="BH16" si="21">STDEV(BE16:BE18)</f>
        <v>5.1381368407806402E-3</v>
      </c>
      <c r="BI16" s="68">
        <f t="shared" ref="BI16" si="22">COUNT(BF16:BF18)</f>
        <v>3</v>
      </c>
      <c r="BJ16" s="67">
        <f t="shared" ref="BJ16" si="23">TINV(0.05,BI16-1)</f>
        <v>4.3026527297494637</v>
      </c>
      <c r="BK16" s="67">
        <f t="shared" ref="BK16" si="24">BH16*BJ16/SQRT(BI16)</f>
        <v>1.2763839494316895E-2</v>
      </c>
      <c r="BL16" s="68">
        <f t="shared" ref="BL16" si="25">AVERAGE(BF16:BF18)</f>
        <v>0.21701741190224391</v>
      </c>
      <c r="BM16" s="68">
        <f t="shared" ref="BM16" si="26">SQRT(BK16^2+BL16^2)</f>
        <v>0.21739243930593558</v>
      </c>
      <c r="BN16" s="70">
        <f>AVERAGE(AY16:AY18)</f>
        <v>272.87453113596513</v>
      </c>
      <c r="BP16" s="80">
        <f t="shared" ref="BP16" si="27">AVERAGE(BC16:BC18)</f>
        <v>4258214.5404843315</v>
      </c>
      <c r="BQ16" s="33"/>
      <c r="BR16" s="33"/>
      <c r="BS16" s="68">
        <f>N16*BT16</f>
        <v>3.0883014461310747</v>
      </c>
      <c r="BT16" s="68">
        <f>1/T16^2</f>
        <v>7.5883784555153744</v>
      </c>
      <c r="BU16" s="68">
        <f t="shared" ref="BU16" si="28">AK16*BV16</f>
        <v>6.7527898546027947</v>
      </c>
      <c r="BV16" s="68">
        <f t="shared" ref="BV16" si="29">1/AQ16^2</f>
        <v>43.821255317180352</v>
      </c>
      <c r="BW16" s="68">
        <f>BG16*BX16</f>
        <v>1.7709926877732389</v>
      </c>
      <c r="BX16" s="68">
        <f>1/BM16^2</f>
        <v>21.159779057165164</v>
      </c>
      <c r="BZ16" s="69">
        <f t="shared" ref="BZ16" si="30">AVERAGE(W16,AT16,BP16)</f>
        <v>4368840.3054225603</v>
      </c>
      <c r="CA16" s="70">
        <f>AVERAGE(U16,AR16,BN16)</f>
        <v>277.92037878178854</v>
      </c>
      <c r="CB16" s="68">
        <f t="shared" ref="CB16" si="31">SUM(BS16,BU16,BW16)/SUM(BT16,BV16,BX16)</f>
        <v>0.16001347586663897</v>
      </c>
      <c r="CC16" s="68">
        <f>SUM(BT16,BV16,BX16)</f>
        <v>72.569412829860894</v>
      </c>
      <c r="CD16" s="68">
        <f t="shared" ref="CD16" si="32">SQRT(CC16^-1)</f>
        <v>0.11738786270045988</v>
      </c>
      <c r="CF16" s="67">
        <f>N16-CB16</f>
        <v>0.24696430788984194</v>
      </c>
      <c r="CG16" s="67">
        <f>SQRT(T16^2-CD16^2)</f>
        <v>0.34351208017550072</v>
      </c>
      <c r="CH16" s="71">
        <f t="shared" ref="CH16" si="33">ABS(CF16/CG16)</f>
        <v>0.71893922264296384</v>
      </c>
      <c r="CI16" s="67">
        <f t="shared" ref="CI16" si="34">AK16-CB16</f>
        <v>-5.9149726237314459E-3</v>
      </c>
      <c r="CJ16" s="67">
        <f t="shared" ref="CJ16" si="35">SQRT(AQ16^2-CD16^2)</f>
        <v>9.5079260689219361E-2</v>
      </c>
      <c r="CK16" s="71">
        <f t="shared" ref="CK16" si="36">ABS(CI16/CJ16)</f>
        <v>6.2210965681205807E-2</v>
      </c>
      <c r="CL16" s="75">
        <f>BG16-CB16</f>
        <v>-7.631729534468111E-2</v>
      </c>
      <c r="CM16" s="67">
        <f>SQRT(BM16^2-CD16^2)</f>
        <v>0.18297421227594576</v>
      </c>
      <c r="CN16" s="71">
        <f t="shared" ref="CN16" si="37">ABS(CL16/CM16)</f>
        <v>0.41709317611153868</v>
      </c>
    </row>
    <row r="17" spans="2:92">
      <c r="B17" s="46"/>
      <c r="C17" s="10" t="s">
        <v>52</v>
      </c>
      <c r="D17" s="54">
        <v>45483.457488425898</v>
      </c>
      <c r="E17" s="9">
        <v>8</v>
      </c>
      <c r="F17" s="47">
        <v>278.77036760399102</v>
      </c>
      <c r="G17" s="47">
        <v>31.464051751280699</v>
      </c>
      <c r="H17" s="47">
        <v>20.170970148937599</v>
      </c>
      <c r="I17" s="47">
        <v>70.208510618402002</v>
      </c>
      <c r="J17" s="57">
        <v>4463213.1012662901</v>
      </c>
      <c r="K17" s="47">
        <v>279.83667416096699</v>
      </c>
      <c r="L17" s="48">
        <f t="shared" si="0"/>
        <v>0.38250355162953409</v>
      </c>
      <c r="M17" s="6">
        <v>0.35</v>
      </c>
      <c r="N17" s="76"/>
      <c r="O17" s="68"/>
      <c r="P17" s="68"/>
      <c r="Q17" s="67"/>
      <c r="R17" s="67"/>
      <c r="S17" s="68"/>
      <c r="T17" s="68"/>
      <c r="U17" s="70"/>
      <c r="W17" s="80"/>
      <c r="Y17" s="10" t="s">
        <v>52</v>
      </c>
      <c r="Z17" s="62">
        <v>45727</v>
      </c>
      <c r="AA17" s="59"/>
      <c r="AB17" s="63">
        <v>282.19753292274203</v>
      </c>
      <c r="AC17" s="64">
        <v>31.160636774063111</v>
      </c>
      <c r="AD17" s="65">
        <v>22.158552169799805</v>
      </c>
      <c r="AE17" s="60">
        <v>68.540472212699996</v>
      </c>
      <c r="AF17" s="61">
        <v>1.5362024047699998E-5</v>
      </c>
      <c r="AG17" s="61">
        <f t="shared" si="3"/>
        <v>4389419.0073428703</v>
      </c>
      <c r="AH17" s="65">
        <v>282.61452482823017</v>
      </c>
      <c r="AI17" s="48">
        <f t="shared" si="1"/>
        <v>0.14776596420575625</v>
      </c>
      <c r="AJ17" s="52">
        <v>0.15</v>
      </c>
      <c r="AK17" s="76"/>
      <c r="AL17" s="68"/>
      <c r="AM17" s="68"/>
      <c r="AN17" s="67"/>
      <c r="AO17" s="67"/>
      <c r="AP17" s="68"/>
      <c r="AQ17" s="68"/>
      <c r="AR17" s="70"/>
      <c r="AT17" s="80"/>
      <c r="AV17" s="10" t="s">
        <v>52</v>
      </c>
      <c r="AW17" s="58">
        <v>45670.51425925926</v>
      </c>
      <c r="AX17" s="59">
        <v>3.2</v>
      </c>
      <c r="AY17" s="47">
        <v>272.86992396507003</v>
      </c>
      <c r="AZ17" s="47">
        <v>31.001227985245013</v>
      </c>
      <c r="BA17" s="47">
        <v>25.878146101170568</v>
      </c>
      <c r="BB17" s="47">
        <v>66.294017794182253</v>
      </c>
      <c r="BC17" s="47">
        <v>4257935.0583581664</v>
      </c>
      <c r="BD17" s="47">
        <v>273.11373269565217</v>
      </c>
      <c r="BE17" s="48">
        <f t="shared" si="2"/>
        <v>8.9349799728516546E-2</v>
      </c>
      <c r="BF17" s="52">
        <v>0.21671586458664327</v>
      </c>
      <c r="BG17" s="76"/>
      <c r="BH17" s="68"/>
      <c r="BI17" s="68"/>
      <c r="BJ17" s="67"/>
      <c r="BK17" s="67"/>
      <c r="BL17" s="68"/>
      <c r="BM17" s="68"/>
      <c r="BN17" s="70"/>
      <c r="BP17" s="80"/>
      <c r="BQ17" s="33"/>
      <c r="BR17" s="33"/>
      <c r="BS17" s="68"/>
      <c r="BT17" s="68"/>
      <c r="BU17" s="68"/>
      <c r="BV17" s="68"/>
      <c r="BW17" s="68"/>
      <c r="BX17" s="68"/>
      <c r="BZ17" s="69"/>
      <c r="CA17" s="70"/>
      <c r="CB17" s="68"/>
      <c r="CC17" s="68"/>
      <c r="CD17" s="68"/>
      <c r="CF17" s="67"/>
      <c r="CG17" s="67"/>
      <c r="CH17" s="71"/>
      <c r="CI17" s="67"/>
      <c r="CJ17" s="67"/>
      <c r="CK17" s="71"/>
      <c r="CL17" s="75"/>
      <c r="CM17" s="67"/>
      <c r="CN17" s="71"/>
    </row>
    <row r="18" spans="2:92">
      <c r="B18" s="46"/>
      <c r="C18" s="10" t="s">
        <v>52</v>
      </c>
      <c r="D18" s="54">
        <v>45483.464224536998</v>
      </c>
      <c r="E18" s="9">
        <v>9</v>
      </c>
      <c r="F18" s="47">
        <v>278.55830449945302</v>
      </c>
      <c r="G18" s="47">
        <v>31.426210265523427</v>
      </c>
      <c r="H18" s="47">
        <v>19.962263939689201</v>
      </c>
      <c r="I18" s="47">
        <v>70.200037010451496</v>
      </c>
      <c r="J18" s="57">
        <v>4462414.05752677</v>
      </c>
      <c r="K18" s="47">
        <v>279.81652553529801</v>
      </c>
      <c r="L18" s="48">
        <f t="shared" si="0"/>
        <v>0.4516903698512667</v>
      </c>
      <c r="M18" s="6">
        <v>0.35</v>
      </c>
      <c r="N18" s="76"/>
      <c r="O18" s="68"/>
      <c r="P18" s="68"/>
      <c r="Q18" s="67"/>
      <c r="R18" s="67"/>
      <c r="S18" s="68"/>
      <c r="T18" s="68"/>
      <c r="U18" s="70"/>
      <c r="W18" s="80"/>
      <c r="Y18" s="10" t="s">
        <v>52</v>
      </c>
      <c r="Z18" s="62">
        <v>45727</v>
      </c>
      <c r="AA18" s="59"/>
      <c r="AB18" s="63">
        <v>282.12406240099227</v>
      </c>
      <c r="AC18" s="64">
        <v>31.173028837203979</v>
      </c>
      <c r="AD18" s="65">
        <v>22.221354961395264</v>
      </c>
      <c r="AE18" s="60">
        <v>68.5134144365</v>
      </c>
      <c r="AF18" s="61">
        <v>1.53648378698E-5</v>
      </c>
      <c r="AG18" s="61">
        <f t="shared" si="3"/>
        <v>4386360.8653881447</v>
      </c>
      <c r="AH18" s="65">
        <v>282.5809095090101</v>
      </c>
      <c r="AI18" s="48">
        <f t="shared" si="1"/>
        <v>0.16193128091587369</v>
      </c>
      <c r="AJ18" s="52">
        <v>0.15</v>
      </c>
      <c r="AK18" s="76"/>
      <c r="AL18" s="68"/>
      <c r="AM18" s="68"/>
      <c r="AN18" s="67"/>
      <c r="AO18" s="67"/>
      <c r="AP18" s="68"/>
      <c r="AQ18" s="68"/>
      <c r="AR18" s="70"/>
      <c r="AT18" s="80"/>
      <c r="AU18" s="18"/>
      <c r="AV18" s="10" t="s">
        <v>52</v>
      </c>
      <c r="AW18" s="58">
        <v>45670.515798611108</v>
      </c>
      <c r="AX18" s="59">
        <v>3.3</v>
      </c>
      <c r="AY18" s="47">
        <v>272.8782426315255</v>
      </c>
      <c r="AZ18" s="47">
        <v>30.99696119539659</v>
      </c>
      <c r="BA18" s="47">
        <v>25.852572857023411</v>
      </c>
      <c r="BB18" s="47">
        <v>66.29045283082273</v>
      </c>
      <c r="BC18" s="47">
        <v>4258112.9865867933</v>
      </c>
      <c r="BD18" s="47">
        <v>273.09466564381273</v>
      </c>
      <c r="BE18" s="48">
        <f t="shared" si="2"/>
        <v>7.9311201288949362E-2</v>
      </c>
      <c r="BF18" s="52">
        <v>0.21646958699015564</v>
      </c>
      <c r="BG18" s="76"/>
      <c r="BH18" s="68"/>
      <c r="BI18" s="68"/>
      <c r="BJ18" s="67"/>
      <c r="BK18" s="67"/>
      <c r="BL18" s="68"/>
      <c r="BM18" s="68"/>
      <c r="BN18" s="70"/>
      <c r="BP18" s="80"/>
      <c r="BS18" s="68"/>
      <c r="BT18" s="68"/>
      <c r="BU18" s="68"/>
      <c r="BV18" s="68"/>
      <c r="BW18" s="68"/>
      <c r="BX18" s="68"/>
      <c r="BZ18" s="69"/>
      <c r="CA18" s="70"/>
      <c r="CB18" s="68"/>
      <c r="CC18" s="68"/>
      <c r="CD18" s="68"/>
      <c r="CF18" s="67"/>
      <c r="CG18" s="67"/>
      <c r="CH18" s="71"/>
      <c r="CI18" s="67"/>
      <c r="CJ18" s="67"/>
      <c r="CK18" s="71"/>
      <c r="CL18" s="75"/>
      <c r="CM18" s="67"/>
      <c r="CN18" s="71"/>
    </row>
    <row r="19" spans="2:92">
      <c r="B19" s="46"/>
      <c r="C19" s="10" t="s">
        <v>52</v>
      </c>
      <c r="D19" s="54">
        <v>45483.472534722197</v>
      </c>
      <c r="E19" s="9">
        <v>10</v>
      </c>
      <c r="F19" s="47">
        <v>159.87680185866199</v>
      </c>
      <c r="G19" s="47">
        <v>31.419499054708766</v>
      </c>
      <c r="H19" s="47">
        <v>20.009282240924499</v>
      </c>
      <c r="I19" s="47">
        <v>70.158066776216998</v>
      </c>
      <c r="J19" s="57">
        <v>2559330.6840497898</v>
      </c>
      <c r="K19" s="47">
        <v>160.37764799703899</v>
      </c>
      <c r="L19" s="48">
        <f t="shared" si="0"/>
        <v>0.31327005078558517</v>
      </c>
      <c r="M19" s="6">
        <v>0.35</v>
      </c>
      <c r="N19" s="76">
        <f t="shared" ref="N19" si="38">AVERAGE(L19:L21)</f>
        <v>0.32783609891621163</v>
      </c>
      <c r="O19" s="68">
        <f t="shared" ref="O19" si="39">STDEV(L19:L21)</f>
        <v>1.9271007836471926E-2</v>
      </c>
      <c r="P19" s="68">
        <f t="shared" ref="P19" si="40">COUNT(M19:M21)</f>
        <v>3</v>
      </c>
      <c r="Q19" s="67">
        <f t="shared" ref="Q19" si="41">TINV(0.05,P19-1)</f>
        <v>4.3026527297494637</v>
      </c>
      <c r="R19" s="67">
        <f t="shared" ref="R19" si="42">O19*Q19/SQRT(P19)</f>
        <v>4.7871837310016069E-2</v>
      </c>
      <c r="S19" s="68">
        <f t="shared" ref="S19" si="43">AVERAGE(M19:M21)</f>
        <v>0.34999999999999992</v>
      </c>
      <c r="T19" s="68">
        <f t="shared" ref="T19" si="44">SQRT(R19^2+S19^2)</f>
        <v>0.35325870521111946</v>
      </c>
      <c r="U19" s="70">
        <f>AVERAGE(F19:F21)</f>
        <v>159.83142598619966</v>
      </c>
      <c r="W19" s="80">
        <f t="shared" ref="W19" si="45">AVERAGE(J19:J21)</f>
        <v>2557302.8664934267</v>
      </c>
      <c r="Y19" s="10" t="s">
        <v>52</v>
      </c>
      <c r="Z19" s="62">
        <v>45727</v>
      </c>
      <c r="AA19" s="59"/>
      <c r="AB19" s="63">
        <v>160.45441013142806</v>
      </c>
      <c r="AC19" s="64">
        <v>31.173996733665465</v>
      </c>
      <c r="AD19" s="65">
        <v>21.700457096099854</v>
      </c>
      <c r="AE19" s="60">
        <v>68.749036907000004</v>
      </c>
      <c r="AF19" s="61">
        <v>1.5340453895500001E-5</v>
      </c>
      <c r="AG19" s="61">
        <f t="shared" si="3"/>
        <v>2511503.97642081</v>
      </c>
      <c r="AH19" s="65">
        <v>160.98727579334661</v>
      </c>
      <c r="AI19" s="48">
        <f t="shared" si="1"/>
        <v>0.33209785974849781</v>
      </c>
      <c r="AJ19" s="52">
        <v>0.15</v>
      </c>
      <c r="AK19" s="76">
        <f t="shared" ref="AK19" si="46">AVERAGE(AI19:AI21)</f>
        <v>0.33823849701295677</v>
      </c>
      <c r="AL19" s="68">
        <f t="shared" ref="AL19" si="47">STDEV(AI19:AI21)</f>
        <v>7.015170769181971E-3</v>
      </c>
      <c r="AM19" s="68">
        <f t="shared" ref="AM19" si="48">COUNT(AJ19:AJ21)</f>
        <v>3</v>
      </c>
      <c r="AN19" s="67">
        <f t="shared" ref="AN19" si="49">TINV(0.05,AM19-1)</f>
        <v>4.3026527297494637</v>
      </c>
      <c r="AO19" s="67">
        <f t="shared" ref="AO19" si="50">AL19*AN19/SQRT(AM19)</f>
        <v>1.7426650262093512E-2</v>
      </c>
      <c r="AP19" s="68">
        <f t="shared" ref="AP19" si="51">AVERAGE(AJ19:AJ21)</f>
        <v>0.15</v>
      </c>
      <c r="AQ19" s="68">
        <f t="shared" ref="AQ19" si="52">SQRT(AO19^2+AP19^2)</f>
        <v>0.1510089008613642</v>
      </c>
      <c r="AR19" s="70">
        <f>AVERAGE(AB19:AB21)</f>
        <v>160.45113857597244</v>
      </c>
      <c r="AT19" s="80">
        <f t="shared" ref="AT19" si="53">AVERAGE(AG19:AG21)</f>
        <v>2511930.8241180461</v>
      </c>
      <c r="AU19" s="18"/>
      <c r="AV19" s="10" t="s">
        <v>52</v>
      </c>
      <c r="AW19" s="58">
        <v>45670.54760416667</v>
      </c>
      <c r="AX19" s="59">
        <v>4.0999999999999996</v>
      </c>
      <c r="AY19" s="47">
        <v>158.60080870642028</v>
      </c>
      <c r="AZ19" s="47">
        <v>31.711369062876393</v>
      </c>
      <c r="BA19" s="47">
        <v>26.284694438963211</v>
      </c>
      <c r="BB19" s="47">
        <v>68.00867592227705</v>
      </c>
      <c r="BC19" s="47">
        <v>2526044.1370282066</v>
      </c>
      <c r="BD19" s="47">
        <v>158.76177223829433</v>
      </c>
      <c r="BE19" s="48">
        <f t="shared" si="2"/>
        <v>0.10148972958391349</v>
      </c>
      <c r="BF19" s="52">
        <v>0.22896502376383729</v>
      </c>
      <c r="BG19" s="76">
        <f t="shared" ref="BG19" si="54">AVERAGE(BE19:BE21)</f>
        <v>0.11521024833533894</v>
      </c>
      <c r="BH19" s="68">
        <f t="shared" ref="BH19" si="55">STDEV(BE19:BE21)</f>
        <v>1.3795705915047727E-2</v>
      </c>
      <c r="BI19" s="68">
        <f t="shared" ref="BI19" si="56">COUNT(BF19:BF21)</f>
        <v>3</v>
      </c>
      <c r="BJ19" s="67">
        <f t="shared" ref="BJ19" si="57">TINV(0.05,BI19-1)</f>
        <v>4.3026527297494637</v>
      </c>
      <c r="BK19" s="67">
        <f t="shared" ref="BK19" si="58">BH19*BJ19/SQRT(BI19)</f>
        <v>3.4270433323787167E-2</v>
      </c>
      <c r="BL19" s="68">
        <f t="shared" ref="BL19" si="59">AVERAGE(BF19:BF21)</f>
        <v>0.22464900720177602</v>
      </c>
      <c r="BM19" s="68">
        <f t="shared" ref="BM19" si="60">SQRT(BK19^2+BL19^2)</f>
        <v>0.22724796816901083</v>
      </c>
      <c r="BN19" s="70">
        <f>AVERAGE(AY19:AY21)</f>
        <v>158.57114719242651</v>
      </c>
      <c r="BP19" s="80">
        <f t="shared" ref="BP19" si="61">AVERAGE(BC19:BC21)</f>
        <v>2524249.1273759622</v>
      </c>
      <c r="BS19" s="68">
        <f>N19*BT19</f>
        <v>2.627066265386456</v>
      </c>
      <c r="BT19" s="68">
        <f>1/T19^2</f>
        <v>8.0133526297782165</v>
      </c>
      <c r="BU19" s="68">
        <f t="shared" ref="BU19" si="62">AK19*BV19</f>
        <v>14.832622466415179</v>
      </c>
      <c r="BV19" s="68">
        <f t="shared" ref="BV19" si="63">1/AQ19^2</f>
        <v>43.852555511583269</v>
      </c>
      <c r="BW19" s="68">
        <f>BG19*BX19</f>
        <v>2.2309564623407678</v>
      </c>
      <c r="BX19" s="68">
        <f>1/BM19^2</f>
        <v>19.364218848371817</v>
      </c>
      <c r="BZ19" s="69">
        <f t="shared" ref="BZ19" si="64">AVERAGE(W19,AT19,BP19)</f>
        <v>2531160.939329145</v>
      </c>
      <c r="CA19" s="70">
        <f>AVERAGE(U19,AR19,BN19)</f>
        <v>159.61790391819952</v>
      </c>
      <c r="CB19" s="68">
        <f t="shared" ref="CB19" si="65">SUM(BS19,BU19,BW19)/SUM(BT19,BV19,BX19)</f>
        <v>0.27643703621334964</v>
      </c>
      <c r="CC19" s="68">
        <f>SUM(BT19,BV19,BX19)</f>
        <v>71.230126989733307</v>
      </c>
      <c r="CD19" s="68">
        <f t="shared" ref="CD19" si="66">SQRT(CC19^-1)</f>
        <v>0.11848630077066795</v>
      </c>
      <c r="CF19" s="67">
        <f>N19-CB19</f>
        <v>5.1399062702861986E-2</v>
      </c>
      <c r="CG19" s="67">
        <f>SQRT(T19^2-CD19^2)</f>
        <v>0.33279529644680889</v>
      </c>
      <c r="CH19" s="71">
        <f t="shared" ref="CH19" si="67">ABS(CF19/CG19)</f>
        <v>0.15444648182122719</v>
      </c>
      <c r="CI19" s="67">
        <f t="shared" ref="CI19" si="68">AK19-CB19</f>
        <v>6.1801460799607133E-2</v>
      </c>
      <c r="CJ19" s="67">
        <f t="shared" ref="CJ19" si="69">SQRT(AQ19^2-CD19^2)</f>
        <v>9.3619894622030714E-2</v>
      </c>
      <c r="CK19" s="71">
        <f t="shared" ref="CK19" si="70">ABS(CI19/CJ19)</f>
        <v>0.66013170650444164</v>
      </c>
      <c r="CL19" s="75">
        <f>BG19-CB19</f>
        <v>-0.1612267878780107</v>
      </c>
      <c r="CM19" s="67">
        <f>SQRT(BM19^2-CD19^2)</f>
        <v>0.1939139901261035</v>
      </c>
      <c r="CN19" s="71">
        <f t="shared" ref="CN19" si="71">ABS(CL19/CM19)</f>
        <v>0.8314345332854215</v>
      </c>
    </row>
    <row r="20" spans="2:92">
      <c r="B20" s="46"/>
      <c r="C20" s="10" t="s">
        <v>52</v>
      </c>
      <c r="D20" s="54">
        <v>45483.480173611097</v>
      </c>
      <c r="E20" s="9">
        <v>11</v>
      </c>
      <c r="F20" s="47">
        <v>159.79027069980199</v>
      </c>
      <c r="G20" s="47">
        <v>31.41333785043242</v>
      </c>
      <c r="H20" s="47">
        <v>20.0489140795315</v>
      </c>
      <c r="I20" s="47">
        <v>70.121553777771098</v>
      </c>
      <c r="J20" s="57">
        <v>2556353.2951306198</v>
      </c>
      <c r="K20" s="47">
        <v>160.34903767642299</v>
      </c>
      <c r="L20" s="48">
        <f t="shared" si="0"/>
        <v>0.34968773391138247</v>
      </c>
      <c r="M20" s="6">
        <v>0.35</v>
      </c>
      <c r="N20" s="76"/>
      <c r="O20" s="68"/>
      <c r="P20" s="68"/>
      <c r="Q20" s="67"/>
      <c r="R20" s="67"/>
      <c r="S20" s="68"/>
      <c r="T20" s="68"/>
      <c r="U20" s="70"/>
      <c r="W20" s="80"/>
      <c r="Y20" s="10" t="s">
        <v>52</v>
      </c>
      <c r="Z20" s="62">
        <v>45727</v>
      </c>
      <c r="AA20" s="59"/>
      <c r="AB20" s="63">
        <v>160.4480799820719</v>
      </c>
      <c r="AC20" s="64">
        <v>31.171554492950438</v>
      </c>
      <c r="AD20" s="65">
        <v>21.685176849365234</v>
      </c>
      <c r="AE20" s="60">
        <v>68.7535931237</v>
      </c>
      <c r="AF20" s="61">
        <v>1.5339985029600001E-5</v>
      </c>
      <c r="AG20" s="61">
        <f t="shared" si="3"/>
        <v>2511993.2114267228</v>
      </c>
      <c r="AH20" s="65">
        <v>161.00304417336457</v>
      </c>
      <c r="AI20" s="48">
        <f t="shared" si="1"/>
        <v>0.34588397153439249</v>
      </c>
      <c r="AJ20" s="52">
        <v>0.15</v>
      </c>
      <c r="AK20" s="76"/>
      <c r="AL20" s="68"/>
      <c r="AM20" s="68"/>
      <c r="AN20" s="67"/>
      <c r="AO20" s="67"/>
      <c r="AP20" s="68"/>
      <c r="AQ20" s="68"/>
      <c r="AR20" s="70"/>
      <c r="AT20" s="80"/>
      <c r="AU20" s="18"/>
      <c r="AV20" s="10" t="s">
        <v>52</v>
      </c>
      <c r="AW20" s="58">
        <v>45670.549386574072</v>
      </c>
      <c r="AX20" s="59">
        <v>4.2</v>
      </c>
      <c r="AY20" s="47">
        <v>158.55069990822153</v>
      </c>
      <c r="AZ20" s="47">
        <v>31.6678163074933</v>
      </c>
      <c r="BA20" s="47">
        <v>26.183050095317725</v>
      </c>
      <c r="BB20" s="47">
        <v>67.934721863065221</v>
      </c>
      <c r="BC20" s="47">
        <v>2523617.9697092436</v>
      </c>
      <c r="BD20" s="47">
        <v>158.75535704347828</v>
      </c>
      <c r="BE20" s="48">
        <f t="shared" si="2"/>
        <v>0.1290799317664445</v>
      </c>
      <c r="BF20" s="52">
        <v>0.22382823365756038</v>
      </c>
      <c r="BG20" s="76"/>
      <c r="BH20" s="68"/>
      <c r="BI20" s="68"/>
      <c r="BJ20" s="67"/>
      <c r="BK20" s="67"/>
      <c r="BL20" s="68"/>
      <c r="BM20" s="68"/>
      <c r="BN20" s="70"/>
      <c r="BP20" s="80"/>
      <c r="BS20" s="68"/>
      <c r="BT20" s="68"/>
      <c r="BU20" s="68"/>
      <c r="BV20" s="68"/>
      <c r="BW20" s="68"/>
      <c r="BX20" s="68"/>
      <c r="BZ20" s="69"/>
      <c r="CA20" s="70"/>
      <c r="CB20" s="68"/>
      <c r="CC20" s="68"/>
      <c r="CD20" s="68"/>
      <c r="CF20" s="67"/>
      <c r="CG20" s="67"/>
      <c r="CH20" s="71"/>
      <c r="CI20" s="67"/>
      <c r="CJ20" s="67"/>
      <c r="CK20" s="71"/>
      <c r="CL20" s="75"/>
      <c r="CM20" s="67"/>
      <c r="CN20" s="71"/>
    </row>
    <row r="21" spans="2:92">
      <c r="B21" s="46"/>
      <c r="C21" s="10" t="s">
        <v>52</v>
      </c>
      <c r="D21" s="54">
        <v>45483.487048611103</v>
      </c>
      <c r="E21" s="9">
        <v>12</v>
      </c>
      <c r="F21" s="47">
        <v>159.827205400135</v>
      </c>
      <c r="G21" s="47">
        <v>31.403484009171368</v>
      </c>
      <c r="H21" s="47">
        <v>20.0389947050957</v>
      </c>
      <c r="I21" s="47">
        <v>70.098151785188406</v>
      </c>
      <c r="J21" s="57">
        <v>2556224.6202998701</v>
      </c>
      <c r="K21" s="47">
        <v>160.339532325443</v>
      </c>
      <c r="L21" s="48">
        <f t="shared" si="0"/>
        <v>0.32055051205166712</v>
      </c>
      <c r="M21" s="6">
        <v>0.35</v>
      </c>
      <c r="N21" s="76"/>
      <c r="O21" s="68"/>
      <c r="P21" s="68"/>
      <c r="Q21" s="67"/>
      <c r="R21" s="67"/>
      <c r="S21" s="68"/>
      <c r="T21" s="68"/>
      <c r="U21" s="70"/>
      <c r="W21" s="80"/>
      <c r="Y21" s="10" t="s">
        <v>52</v>
      </c>
      <c r="Z21" s="62">
        <v>45727</v>
      </c>
      <c r="AA21" s="59"/>
      <c r="AB21" s="63">
        <v>160.45092561441734</v>
      </c>
      <c r="AC21" s="64">
        <v>31.17900460577011</v>
      </c>
      <c r="AD21" s="65">
        <v>21.674793720245361</v>
      </c>
      <c r="AE21" s="60">
        <v>68.762708410399995</v>
      </c>
      <c r="AF21" s="61">
        <v>1.5339047304400001E-5</v>
      </c>
      <c r="AG21" s="61">
        <f t="shared" si="3"/>
        <v>2512295.2845066064</v>
      </c>
      <c r="AH21" s="65">
        <v>160.99121788835112</v>
      </c>
      <c r="AI21" s="48">
        <f t="shared" si="1"/>
        <v>0.33673365975597991</v>
      </c>
      <c r="AJ21" s="52">
        <v>0.15</v>
      </c>
      <c r="AK21" s="76"/>
      <c r="AL21" s="68"/>
      <c r="AM21" s="68"/>
      <c r="AN21" s="67"/>
      <c r="AO21" s="67"/>
      <c r="AP21" s="68"/>
      <c r="AQ21" s="68"/>
      <c r="AR21" s="70"/>
      <c r="AT21" s="80"/>
      <c r="AU21" s="18"/>
      <c r="AV21" s="10" t="s">
        <v>52</v>
      </c>
      <c r="AW21" s="58">
        <v>45670.550856481481</v>
      </c>
      <c r="AX21" s="59">
        <v>4.3</v>
      </c>
      <c r="AY21" s="47">
        <v>158.56193296263774</v>
      </c>
      <c r="AZ21" s="47">
        <v>31.637589399024979</v>
      </c>
      <c r="BA21" s="47">
        <v>26.091651592809363</v>
      </c>
      <c r="BB21" s="47">
        <v>67.892206000303389</v>
      </c>
      <c r="BC21" s="47">
        <v>2523085.2753904364</v>
      </c>
      <c r="BD21" s="47">
        <v>158.74437604096991</v>
      </c>
      <c r="BE21" s="48">
        <f t="shared" si="2"/>
        <v>0.1150610836556588</v>
      </c>
      <c r="BF21" s="52">
        <v>0.22115376418393037</v>
      </c>
      <c r="BG21" s="76"/>
      <c r="BH21" s="68"/>
      <c r="BI21" s="68"/>
      <c r="BJ21" s="67"/>
      <c r="BK21" s="67"/>
      <c r="BL21" s="68"/>
      <c r="BM21" s="68"/>
      <c r="BN21" s="70"/>
      <c r="BP21" s="80"/>
      <c r="BS21" s="68"/>
      <c r="BT21" s="68"/>
      <c r="BU21" s="68"/>
      <c r="BV21" s="68"/>
      <c r="BW21" s="68"/>
      <c r="BX21" s="68"/>
      <c r="BZ21" s="69"/>
      <c r="CA21" s="70"/>
      <c r="CB21" s="68"/>
      <c r="CC21" s="68"/>
      <c r="CD21" s="68"/>
      <c r="CF21" s="67"/>
      <c r="CG21" s="67"/>
      <c r="CH21" s="71"/>
      <c r="CI21" s="67"/>
      <c r="CJ21" s="67"/>
      <c r="CK21" s="71"/>
      <c r="CL21" s="75"/>
      <c r="CM21" s="67"/>
      <c r="CN21" s="71"/>
    </row>
    <row r="22" spans="2:92">
      <c r="B22" s="46"/>
      <c r="C22" s="10" t="s">
        <v>52</v>
      </c>
      <c r="D22" s="54">
        <v>45483.504155092603</v>
      </c>
      <c r="E22" s="9">
        <v>14</v>
      </c>
      <c r="F22" s="47">
        <v>80.438105167670898</v>
      </c>
      <c r="G22" s="47">
        <v>31.387112210564332</v>
      </c>
      <c r="H22" s="47">
        <v>20.0194835758656</v>
      </c>
      <c r="I22" s="47">
        <v>70.060556361940499</v>
      </c>
      <c r="J22" s="57">
        <v>1285934.4920147399</v>
      </c>
      <c r="K22" s="47">
        <v>80.634451814089601</v>
      </c>
      <c r="L22" s="48">
        <f t="shared" si="0"/>
        <v>0.24409655847738421</v>
      </c>
      <c r="M22" s="6">
        <v>0.35</v>
      </c>
      <c r="N22" s="76">
        <f t="shared" ref="N22" si="72">AVERAGE(L22:L24)</f>
        <v>0.24072246388204929</v>
      </c>
      <c r="O22" s="68">
        <f t="shared" ref="O22" si="73">STDEV(L22:L24)</f>
        <v>7.8864584904087282E-3</v>
      </c>
      <c r="P22" s="68">
        <f t="shared" ref="P22" si="74">COUNT(M22:M24)</f>
        <v>3</v>
      </c>
      <c r="Q22" s="67">
        <f t="shared" ref="Q22" si="75">TINV(0.05,P22-1)</f>
        <v>4.3026527297494637</v>
      </c>
      <c r="R22" s="67">
        <f t="shared" ref="R22" si="76">O22*Q22/SQRT(P22)</f>
        <v>1.9591048948177911E-2</v>
      </c>
      <c r="S22" s="68">
        <f t="shared" ref="S22" si="77">AVERAGE(M22:M24)</f>
        <v>0.34999999999999992</v>
      </c>
      <c r="T22" s="68">
        <f t="shared" ref="T22" si="78">SQRT(R22^2+S22^2)</f>
        <v>0.35054787005327798</v>
      </c>
      <c r="U22" s="70">
        <f>AVERAGE(F22:F24)</f>
        <v>80.437981013910459</v>
      </c>
      <c r="W22" s="80">
        <f t="shared" ref="W22" si="79">AVERAGE(J22:J24)</f>
        <v>1285436.4355013398</v>
      </c>
      <c r="Y22" s="10" t="s">
        <v>52</v>
      </c>
      <c r="Z22" s="62">
        <v>45727</v>
      </c>
      <c r="AA22" s="59"/>
      <c r="AB22" s="63">
        <v>80.073304252940716</v>
      </c>
      <c r="AC22" s="64">
        <v>31.194120317935944</v>
      </c>
      <c r="AD22" s="63">
        <v>21.570945739746094</v>
      </c>
      <c r="AE22" s="60">
        <v>68.808342013699999</v>
      </c>
      <c r="AF22" s="61">
        <v>1.5334358811999998E-5</v>
      </c>
      <c r="AG22" s="61">
        <f t="shared" si="3"/>
        <v>1254571.0977211762</v>
      </c>
      <c r="AH22" s="65">
        <v>80.316707397354165</v>
      </c>
      <c r="AI22" s="48">
        <f t="shared" si="1"/>
        <v>0.30397539689953529</v>
      </c>
      <c r="AJ22" s="52">
        <v>0.15</v>
      </c>
      <c r="AK22" s="76">
        <f t="shared" ref="AK22" si="80">AVERAGE(AI22:AI24)</f>
        <v>0.30164187849878865</v>
      </c>
      <c r="AL22" s="68">
        <f t="shared" ref="AL22" si="81">STDEV(AI22:AI24)</f>
        <v>2.2778643890926497E-3</v>
      </c>
      <c r="AM22" s="68">
        <f t="shared" ref="AM22" si="82">COUNT(AJ22:AJ24)</f>
        <v>3</v>
      </c>
      <c r="AN22" s="67">
        <f t="shared" ref="AN22" si="83">TINV(0.05,AM22-1)</f>
        <v>4.3026527297494637</v>
      </c>
      <c r="AO22" s="67">
        <f t="shared" ref="AO22" si="84">AL22*AN22/SQRT(AM22)</f>
        <v>5.6585288311981809E-3</v>
      </c>
      <c r="AP22" s="68">
        <f t="shared" ref="AP22" si="85">AVERAGE(AJ22:AJ24)</f>
        <v>0.15</v>
      </c>
      <c r="AQ22" s="68">
        <f t="shared" ref="AQ22" si="86">SQRT(AO22^2+AP22^2)</f>
        <v>0.1501066918845842</v>
      </c>
      <c r="AR22" s="70">
        <f>AVERAGE(AB22:AB24)</f>
        <v>80.073548827961943</v>
      </c>
      <c r="AT22" s="80">
        <f t="shared" ref="AT22" si="87">AVERAGE(AG22:AG24)</f>
        <v>1255520.1156903945</v>
      </c>
      <c r="AU22" s="18"/>
      <c r="AV22" s="10" t="s">
        <v>52</v>
      </c>
      <c r="AW22" s="58">
        <v>45670.563287037039</v>
      </c>
      <c r="AX22" s="59">
        <v>5.0999999999999996</v>
      </c>
      <c r="AY22" s="47">
        <v>83.355783837721972</v>
      </c>
      <c r="AZ22" s="47">
        <v>31.432899778070176</v>
      </c>
      <c r="BA22" s="47">
        <v>25.130942440635451</v>
      </c>
      <c r="BB22" s="47">
        <v>67.769338171797727</v>
      </c>
      <c r="BC22" s="47">
        <v>1327886.103281708</v>
      </c>
      <c r="BD22" s="47">
        <v>83.321196211538464</v>
      </c>
      <c r="BE22" s="48">
        <f t="shared" si="2"/>
        <v>-4.1493972692817988E-2</v>
      </c>
      <c r="BF22" s="52">
        <v>0.29058694083324449</v>
      </c>
      <c r="BG22" s="76">
        <f t="shared" ref="BG22" si="88">AVERAGE(BE22:BE24)</f>
        <v>1.4191445859336345E-3</v>
      </c>
      <c r="BH22" s="68">
        <f t="shared" ref="BH22" si="89">STDEV(BE22:BE24)</f>
        <v>4.5054118267793958E-2</v>
      </c>
      <c r="BI22" s="68">
        <f t="shared" ref="BI22" si="90">COUNT(BF22:BF24)</f>
        <v>3</v>
      </c>
      <c r="BJ22" s="67">
        <f t="shared" ref="BJ22" si="91">TINV(0.05,BI22-1)</f>
        <v>4.3026527297494637</v>
      </c>
      <c r="BK22" s="67">
        <f t="shared" ref="BK22" si="92">BH22*BJ22/SQRT(BI22)</f>
        <v>0.11192063425868648</v>
      </c>
      <c r="BL22" s="68">
        <f t="shared" ref="BL22" si="93">AVERAGE(BF22:BF24)</f>
        <v>0.2667752612639927</v>
      </c>
      <c r="BM22" s="68">
        <f t="shared" ref="BM22" si="94">SQRT(BK22^2+BL22^2)</f>
        <v>0.28930134530509571</v>
      </c>
      <c r="BN22" s="70">
        <f>AVERAGE(AY22:AY24)</f>
        <v>83.296439172835747</v>
      </c>
      <c r="BP22" s="80">
        <f t="shared" ref="BP22" si="95">AVERAGE(BC22:BC24)</f>
        <v>1326328.3567390884</v>
      </c>
      <c r="BS22" s="68">
        <f>N22*BT22</f>
        <v>1.9589437001617949</v>
      </c>
      <c r="BT22" s="68">
        <f>1/T22^2</f>
        <v>8.1377685678792755</v>
      </c>
      <c r="BU22" s="68">
        <f t="shared" ref="BU22" si="96">AK22*BV22</f>
        <v>13.387254785635671</v>
      </c>
      <c r="BV22" s="68">
        <f t="shared" ref="BV22" si="97">1/AQ22^2</f>
        <v>44.381287015786278</v>
      </c>
      <c r="BW22" s="68">
        <f>BG22*BX22</f>
        <v>1.6956090985098989E-2</v>
      </c>
      <c r="BX22" s="68">
        <f>1/BM22^2</f>
        <v>11.948106734976424</v>
      </c>
      <c r="BZ22" s="69">
        <f t="shared" ref="BZ22" si="98">AVERAGE(W22,AT22,BP22)</f>
        <v>1289094.9693102741</v>
      </c>
      <c r="CA22" s="70">
        <f>AVERAGE(U22,AR22,BN22)</f>
        <v>81.269323004902716</v>
      </c>
      <c r="CB22" s="68">
        <f t="shared" ref="CB22" si="99">SUM(BS22,BU22,BW22)/SUM(BT22,BV22,BX22)</f>
        <v>0.23830976925658784</v>
      </c>
      <c r="CC22" s="68">
        <f>SUM(BT22,BV22,BX22)</f>
        <v>64.467162318641982</v>
      </c>
      <c r="CD22" s="68">
        <f t="shared" ref="CD22" si="100">SQRT(CC22^-1)</f>
        <v>0.12454626926812688</v>
      </c>
      <c r="CF22" s="67">
        <f>N22-CB22</f>
        <v>2.4126946254614534E-3</v>
      </c>
      <c r="CG22" s="67">
        <f>SQRT(T22^2-CD22^2)</f>
        <v>0.32767672485283583</v>
      </c>
      <c r="CH22" s="71">
        <f t="shared" ref="CH22" si="101">ABS(CF22/CG22)</f>
        <v>7.3630332656218654E-3</v>
      </c>
      <c r="CI22" s="67">
        <f t="shared" ref="CI22" si="102">AK22-CB22</f>
        <v>6.3332109242200813E-2</v>
      </c>
      <c r="CJ22" s="67">
        <f t="shared" ref="CJ22" si="103">SQRT(AQ22^2-CD22^2)</f>
        <v>8.3786906852590812E-2</v>
      </c>
      <c r="CK22" s="71">
        <f t="shared" ref="CK22" si="104">ABS(CI22/CJ22)</f>
        <v>0.75587119302092354</v>
      </c>
      <c r="CL22" s="75">
        <f>BG22-CB22</f>
        <v>-0.23689062467065419</v>
      </c>
      <c r="CM22" s="67">
        <f>SQRT(BM22^2-CD22^2)</f>
        <v>0.26111969517202155</v>
      </c>
      <c r="CN22" s="71">
        <f t="shared" ref="CN22" si="105">ABS(CL22/CM22)</f>
        <v>0.90721086555571528</v>
      </c>
    </row>
    <row r="23" spans="2:92">
      <c r="B23" s="46"/>
      <c r="C23" s="10" t="s">
        <v>52</v>
      </c>
      <c r="D23" s="54">
        <v>45483.517523148097</v>
      </c>
      <c r="E23" s="9">
        <v>15</v>
      </c>
      <c r="F23" s="47">
        <v>80.435704787163701</v>
      </c>
      <c r="G23" s="47">
        <v>31.383716345261465</v>
      </c>
      <c r="H23" s="47">
        <v>20.048778409030401</v>
      </c>
      <c r="I23" s="47">
        <v>70.036793603738204</v>
      </c>
      <c r="J23" s="57">
        <v>1285359.55824025</v>
      </c>
      <c r="K23" s="47">
        <v>80.633866646270107</v>
      </c>
      <c r="L23" s="48">
        <f t="shared" si="0"/>
        <v>0.24636056789798882</v>
      </c>
      <c r="M23" s="6">
        <v>0.35</v>
      </c>
      <c r="N23" s="76"/>
      <c r="O23" s="68"/>
      <c r="P23" s="68"/>
      <c r="Q23" s="67"/>
      <c r="R23" s="67"/>
      <c r="S23" s="68"/>
      <c r="T23" s="68"/>
      <c r="U23" s="70"/>
      <c r="W23" s="80"/>
      <c r="Y23" s="10" t="s">
        <v>52</v>
      </c>
      <c r="Z23" s="62">
        <v>45727</v>
      </c>
      <c r="AA23" s="59"/>
      <c r="AB23" s="63">
        <v>80.073701024121789</v>
      </c>
      <c r="AC23" s="64">
        <v>31.177947264909744</v>
      </c>
      <c r="AD23" s="63">
        <v>21.468193054199219</v>
      </c>
      <c r="AE23" s="60">
        <v>68.854071190200003</v>
      </c>
      <c r="AF23" s="61">
        <v>1.5329670545200002E-5</v>
      </c>
      <c r="AG23" s="61">
        <f t="shared" si="3"/>
        <v>1255738.0507198547</v>
      </c>
      <c r="AH23" s="65">
        <v>80.313460966173992</v>
      </c>
      <c r="AI23" s="48">
        <f t="shared" si="1"/>
        <v>0.29942407929911508</v>
      </c>
      <c r="AJ23" s="52">
        <v>0.15</v>
      </c>
      <c r="AK23" s="76"/>
      <c r="AL23" s="68"/>
      <c r="AM23" s="68"/>
      <c r="AN23" s="67"/>
      <c r="AO23" s="67"/>
      <c r="AP23" s="68"/>
      <c r="AQ23" s="68"/>
      <c r="AR23" s="70"/>
      <c r="AT23" s="80"/>
      <c r="AV23" s="10" t="s">
        <v>52</v>
      </c>
      <c r="AW23" s="58">
        <v>45670.564756944441</v>
      </c>
      <c r="AX23" s="59">
        <v>5.2</v>
      </c>
      <c r="AY23" s="47">
        <v>83.297046513159287</v>
      </c>
      <c r="AZ23" s="47">
        <v>31.339995168435632</v>
      </c>
      <c r="BA23" s="47">
        <v>24.835844224916389</v>
      </c>
      <c r="BB23" s="47">
        <v>67.645444256219577</v>
      </c>
      <c r="BC23" s="47">
        <v>1325961.1949193017</v>
      </c>
      <c r="BD23" s="47">
        <v>83.294885525083615</v>
      </c>
      <c r="BE23" s="48">
        <f t="shared" si="2"/>
        <v>-2.5943153642685071E-3</v>
      </c>
      <c r="BF23" s="52">
        <v>0.26800851669703524</v>
      </c>
      <c r="BG23" s="76"/>
      <c r="BH23" s="68"/>
      <c r="BI23" s="68"/>
      <c r="BJ23" s="67"/>
      <c r="BK23" s="67"/>
      <c r="BL23" s="68"/>
      <c r="BM23" s="68"/>
      <c r="BN23" s="70"/>
      <c r="BP23" s="80"/>
      <c r="BS23" s="68"/>
      <c r="BT23" s="68"/>
      <c r="BU23" s="68"/>
      <c r="BV23" s="68"/>
      <c r="BW23" s="68"/>
      <c r="BX23" s="68"/>
      <c r="BZ23" s="69"/>
      <c r="CA23" s="70"/>
      <c r="CB23" s="68"/>
      <c r="CC23" s="68"/>
      <c r="CD23" s="68"/>
      <c r="CF23" s="67"/>
      <c r="CG23" s="67"/>
      <c r="CH23" s="71"/>
      <c r="CI23" s="67"/>
      <c r="CJ23" s="67"/>
      <c r="CK23" s="71"/>
      <c r="CL23" s="75"/>
      <c r="CM23" s="67"/>
      <c r="CN23" s="71"/>
    </row>
    <row r="24" spans="2:92">
      <c r="B24" s="46"/>
      <c r="C24" s="10" t="s">
        <v>52</v>
      </c>
      <c r="D24" s="54">
        <v>45483.5312962963</v>
      </c>
      <c r="E24" s="9">
        <v>16</v>
      </c>
      <c r="F24" s="47">
        <v>80.440133086896793</v>
      </c>
      <c r="G24" s="47">
        <v>31.38047676953833</v>
      </c>
      <c r="H24" s="47">
        <v>20.069048739841399</v>
      </c>
      <c r="I24" s="47">
        <v>70.017817176324797</v>
      </c>
      <c r="J24" s="57">
        <v>1285015.2562490299</v>
      </c>
      <c r="K24" s="47">
        <v>80.626521132656606</v>
      </c>
      <c r="L24" s="48">
        <f t="shared" si="0"/>
        <v>0.23171026527077479</v>
      </c>
      <c r="M24" s="6">
        <v>0.35</v>
      </c>
      <c r="N24" s="76"/>
      <c r="O24" s="68"/>
      <c r="P24" s="68"/>
      <c r="Q24" s="67"/>
      <c r="R24" s="67"/>
      <c r="S24" s="68"/>
      <c r="T24" s="68"/>
      <c r="U24" s="70"/>
      <c r="W24" s="80"/>
      <c r="Y24" s="10" t="s">
        <v>52</v>
      </c>
      <c r="Z24" s="62">
        <v>45727</v>
      </c>
      <c r="AA24" s="59"/>
      <c r="AB24" s="63">
        <v>80.073641206823311</v>
      </c>
      <c r="AC24" s="64">
        <v>31.171123154520988</v>
      </c>
      <c r="AD24" s="63">
        <v>21.430689811706543</v>
      </c>
      <c r="AE24" s="60">
        <v>68.872389710199997</v>
      </c>
      <c r="AF24" s="61">
        <v>1.5327795302699999E-5</v>
      </c>
      <c r="AG24" s="61">
        <f t="shared" si="3"/>
        <v>1256251.1986301527</v>
      </c>
      <c r="AH24" s="65">
        <v>80.315084181764078</v>
      </c>
      <c r="AI24" s="48">
        <f t="shared" si="1"/>
        <v>0.3015261592977157</v>
      </c>
      <c r="AJ24" s="52">
        <v>0.15</v>
      </c>
      <c r="AK24" s="76"/>
      <c r="AL24" s="68"/>
      <c r="AM24" s="68"/>
      <c r="AN24" s="67"/>
      <c r="AO24" s="67"/>
      <c r="AP24" s="68"/>
      <c r="AQ24" s="68"/>
      <c r="AR24" s="70"/>
      <c r="AT24" s="80"/>
      <c r="AV24" s="10" t="s">
        <v>52</v>
      </c>
      <c r="AW24" s="58">
        <v>45670.56621527778</v>
      </c>
      <c r="AX24" s="59">
        <v>5.3</v>
      </c>
      <c r="AY24" s="47">
        <v>83.236487167625981</v>
      </c>
      <c r="AZ24" s="47">
        <v>31.274186313283469</v>
      </c>
      <c r="BA24" s="47">
        <v>24.543900155518394</v>
      </c>
      <c r="BB24" s="47">
        <v>67.591303938778424</v>
      </c>
      <c r="BC24" s="47">
        <v>1325137.7720162557</v>
      </c>
      <c r="BD24" s="47">
        <v>83.276728448160526</v>
      </c>
      <c r="BE24" s="48">
        <f t="shared" si="2"/>
        <v>4.8345721814887395E-2</v>
      </c>
      <c r="BF24" s="52">
        <v>0.24173032626169846</v>
      </c>
      <c r="BG24" s="76"/>
      <c r="BH24" s="68"/>
      <c r="BI24" s="68"/>
      <c r="BJ24" s="67"/>
      <c r="BK24" s="67"/>
      <c r="BL24" s="68"/>
      <c r="BM24" s="68"/>
      <c r="BN24" s="70"/>
      <c r="BP24" s="80"/>
      <c r="BS24" s="68"/>
      <c r="BT24" s="68"/>
      <c r="BU24" s="68"/>
      <c r="BV24" s="68"/>
      <c r="BW24" s="68"/>
      <c r="BX24" s="68"/>
      <c r="BZ24" s="69"/>
      <c r="CA24" s="70"/>
      <c r="CB24" s="68"/>
      <c r="CC24" s="68"/>
      <c r="CD24" s="68"/>
      <c r="CF24" s="67"/>
      <c r="CG24" s="67"/>
      <c r="CH24" s="71"/>
      <c r="CI24" s="67"/>
      <c r="CJ24" s="67"/>
      <c r="CK24" s="71"/>
      <c r="CL24" s="75"/>
      <c r="CM24" s="67"/>
      <c r="CN24" s="71"/>
    </row>
    <row r="25" spans="2:92">
      <c r="B25" s="46"/>
      <c r="C25" s="10" t="s">
        <v>52</v>
      </c>
      <c r="D25" s="54">
        <v>45483.546122685198</v>
      </c>
      <c r="E25" s="9">
        <v>17</v>
      </c>
      <c r="F25" s="47">
        <v>40.321174129694299</v>
      </c>
      <c r="G25" s="47">
        <v>31.372860761971772</v>
      </c>
      <c r="H25" s="47">
        <v>20.013490169958299</v>
      </c>
      <c r="I25" s="47">
        <v>70.022477889663506</v>
      </c>
      <c r="J25" s="57">
        <v>644282.54448005895</v>
      </c>
      <c r="K25" s="47">
        <v>40.375651807469801</v>
      </c>
      <c r="L25" s="48">
        <f t="shared" si="0"/>
        <v>0.13510935371145866</v>
      </c>
      <c r="M25" s="6">
        <v>0.35</v>
      </c>
      <c r="N25" s="76">
        <f>AVERAGE(L25:L27)</f>
        <v>0.12934529719152221</v>
      </c>
      <c r="O25" s="68">
        <f t="shared" ref="O25" si="106">STDEV(L25:L27)</f>
        <v>9.8120886215319943E-3</v>
      </c>
      <c r="P25" s="68">
        <f t="shared" ref="P25" si="107">COUNT(M25:M27)</f>
        <v>3</v>
      </c>
      <c r="Q25" s="67">
        <f t="shared" ref="Q25" si="108">TINV(0.05,P25-1)</f>
        <v>4.3026527297494637</v>
      </c>
      <c r="R25" s="67">
        <f t="shared" ref="R25" si="109">O25*Q25/SQRT(P25)</f>
        <v>2.4374579375783949E-2</v>
      </c>
      <c r="S25" s="68">
        <f t="shared" ref="S25" si="110">AVERAGE(M25:M27)</f>
        <v>0.34999999999999992</v>
      </c>
      <c r="T25" s="68">
        <f t="shared" ref="T25" si="111">SQRT(R25^2+S25^2)</f>
        <v>0.35084771642373042</v>
      </c>
      <c r="U25" s="70">
        <f>AVERAGE(F25:F27)</f>
        <v>40.321465033856633</v>
      </c>
      <c r="W25" s="80">
        <f t="shared" ref="W25" si="112">AVERAGE(J25:J27)</f>
        <v>644310.69598909991</v>
      </c>
      <c r="Y25" s="10" t="s">
        <v>52</v>
      </c>
      <c r="Z25" s="62">
        <v>45727</v>
      </c>
      <c r="AA25" s="59"/>
      <c r="AB25" s="63">
        <v>40.017954332030271</v>
      </c>
      <c r="AC25" s="64">
        <v>31.052149641586468</v>
      </c>
      <c r="AD25" s="65">
        <v>20.695318698883057</v>
      </c>
      <c r="AE25" s="60">
        <v>68.926635641900006</v>
      </c>
      <c r="AF25" s="61">
        <v>1.5290004215600001E-5</v>
      </c>
      <c r="AG25" s="61">
        <f t="shared" si="3"/>
        <v>629016.93385960138</v>
      </c>
      <c r="AH25" s="65">
        <v>40.083806019725081</v>
      </c>
      <c r="AI25" s="48">
        <f t="shared" si="1"/>
        <v>0.1645553571990119</v>
      </c>
      <c r="AJ25" s="52">
        <v>0.15</v>
      </c>
      <c r="AK25" s="76">
        <f>AVERAGE(AI25:AI27)</f>
        <v>0.15079639053427374</v>
      </c>
      <c r="AL25" s="68">
        <f t="shared" ref="AL25" si="113">STDEV(AI25:AI27)</f>
        <v>1.2429310988756154E-2</v>
      </c>
      <c r="AM25" s="68">
        <f t="shared" ref="AM25" si="114">COUNT(AJ25:AJ27)</f>
        <v>3</v>
      </c>
      <c r="AN25" s="67">
        <f t="shared" ref="AN25" si="115">TINV(0.05,AM25-1)</f>
        <v>4.3026527297494637</v>
      </c>
      <c r="AO25" s="67">
        <f t="shared" ref="AO25" si="116">AL25*AN25/SQRT(AM25)</f>
        <v>3.0876120158241958E-2</v>
      </c>
      <c r="AP25" s="68">
        <f t="shared" ref="AP25" si="117">AVERAGE(AJ25:AJ27)</f>
        <v>0.15</v>
      </c>
      <c r="AQ25" s="68">
        <f t="shared" ref="AQ25" si="118">SQRT(AO25^2+AP25^2)</f>
        <v>0.15314481641905545</v>
      </c>
      <c r="AR25" s="70">
        <f>AVERAGE(AB25:AB27)</f>
        <v>40.019370334075866</v>
      </c>
      <c r="AT25" s="80">
        <f t="shared" ref="AT25" si="119">AVERAGE(AG25:AG27)</f>
        <v>628850.3923848283</v>
      </c>
      <c r="AV25" s="10" t="s">
        <v>52</v>
      </c>
      <c r="AW25" s="58">
        <v>45670.591099537036</v>
      </c>
      <c r="AX25" s="59">
        <v>8.1</v>
      </c>
      <c r="AY25" s="47">
        <v>34.129256692018728</v>
      </c>
      <c r="AZ25" s="47">
        <v>31.505207907273387</v>
      </c>
      <c r="BA25" s="47">
        <v>24.535607393483712</v>
      </c>
      <c r="BB25" s="47">
        <v>68.202925043775124</v>
      </c>
      <c r="BC25" s="47">
        <v>547460.09105544351</v>
      </c>
      <c r="BD25" s="47">
        <v>33.979927395989975</v>
      </c>
      <c r="BE25" s="48">
        <f t="shared" si="2"/>
        <v>-0.43754042866006698</v>
      </c>
      <c r="BF25" s="52">
        <v>0.22634891875012081</v>
      </c>
      <c r="BG25" s="76">
        <f>AVERAGE(BE25:BE27)</f>
        <v>-0.44060445039733981</v>
      </c>
      <c r="BH25" s="68">
        <f t="shared" ref="BH25" si="120">STDEV(BE25:BE27)</f>
        <v>4.131161829122044E-3</v>
      </c>
      <c r="BI25" s="68">
        <f t="shared" ref="BI25" si="121">COUNT(BF25:BF27)</f>
        <v>3</v>
      </c>
      <c r="BJ25" s="67">
        <f t="shared" ref="BJ25" si="122">TINV(0.05,BI25-1)</f>
        <v>4.3026527297494637</v>
      </c>
      <c r="BK25" s="67">
        <f t="shared" ref="BK25" si="123">BH25*BJ25/SQRT(BI25)</f>
        <v>1.0262374893065546E-2</v>
      </c>
      <c r="BL25" s="68">
        <f t="shared" ref="BL25" si="124">AVERAGE(BF25:BF27)</f>
        <v>0.22624976658989837</v>
      </c>
      <c r="BM25" s="68">
        <f t="shared" ref="BM25" si="125">SQRT(BK25^2+BL25^2)</f>
        <v>0.22648239053054284</v>
      </c>
      <c r="BN25" s="70">
        <f>AVERAGE(AY25:AY27)</f>
        <v>34.136496549109502</v>
      </c>
      <c r="BP25" s="80">
        <f t="shared" ref="BP25" si="126">AVERAGE(BC25:BC27)</f>
        <v>547381.41043593478</v>
      </c>
      <c r="BS25" s="68">
        <f>N25*BT25</f>
        <v>1.0507837179037853</v>
      </c>
      <c r="BT25" s="68">
        <f>1/T25^2</f>
        <v>8.1238648850749069</v>
      </c>
      <c r="BU25" s="68">
        <f t="shared" ref="BU25" si="127">AK25*BV25</f>
        <v>6.429635352317737</v>
      </c>
      <c r="BV25" s="68">
        <f t="shared" ref="BV25" si="128">1/AQ25^2</f>
        <v>42.637859762673685</v>
      </c>
      <c r="BW25" s="68">
        <f>BG25*BX25</f>
        <v>-8.5897396090185225</v>
      </c>
      <c r="BX25" s="68">
        <f>1/BM25^2</f>
        <v>19.495353715270561</v>
      </c>
      <c r="BZ25" s="69">
        <f t="shared" ref="BZ25" si="129">AVERAGE(W25,AT25,BP25)</f>
        <v>606847.49960328767</v>
      </c>
      <c r="CA25" s="70">
        <f>AVERAGE(U25,AR25,BN25)</f>
        <v>38.159110639013996</v>
      </c>
      <c r="CB25" s="68">
        <f>SUM(BS25,BU25,BW25)/SUM(BT25,BV25,BX25)</f>
        <v>-1.5789448759385181E-2</v>
      </c>
      <c r="CC25" s="68">
        <f>SUM(BT25,BV25,BX25)</f>
        <v>70.257078363019161</v>
      </c>
      <c r="CD25" s="68">
        <f>SQRT(CC25^-1)</f>
        <v>0.11930398689382607</v>
      </c>
      <c r="CF25" s="67">
        <f>N25-CB25</f>
        <v>0.14513474595090739</v>
      </c>
      <c r="CG25" s="67">
        <f>SQRT(T25^2-CD25^2)</f>
        <v>0.329940417092214</v>
      </c>
      <c r="CH25" s="71">
        <f t="shared" ref="CH25" si="130">ABS(CF25/CG25)</f>
        <v>0.43988168297169894</v>
      </c>
      <c r="CI25" s="67">
        <f>AK25-CB25</f>
        <v>0.16658583929365892</v>
      </c>
      <c r="CJ25" s="67">
        <f>SQRT(AQ25^2-CD25^2)</f>
        <v>9.6020276542321897E-2</v>
      </c>
      <c r="CK25" s="71">
        <f>ABS(CI25/CJ25)</f>
        <v>1.734902723595412</v>
      </c>
      <c r="CL25" s="75">
        <f>BG25-CB25</f>
        <v>-0.4248150016379546</v>
      </c>
      <c r="CM25" s="67">
        <f>SQRT(BM25^2-CD25^2)</f>
        <v>0.19251190075334848</v>
      </c>
      <c r="CN25" s="71">
        <f t="shared" ref="CN25" si="131">ABS(CL25/CM25)</f>
        <v>2.2066947548465548</v>
      </c>
    </row>
    <row r="26" spans="2:92">
      <c r="B26" s="46"/>
      <c r="C26" s="10" t="s">
        <v>52</v>
      </c>
      <c r="D26" s="54">
        <v>45483.559467592597</v>
      </c>
      <c r="E26" s="9">
        <v>18</v>
      </c>
      <c r="F26" s="47">
        <v>40.3260133512794</v>
      </c>
      <c r="G26" s="47">
        <v>31.361452304903267</v>
      </c>
      <c r="H26" s="47">
        <v>19.959105843570601</v>
      </c>
      <c r="I26" s="47">
        <v>70.016051094368194</v>
      </c>
      <c r="J26" s="57">
        <v>644421.00622279802</v>
      </c>
      <c r="K26" s="47">
        <v>40.373604440238502</v>
      </c>
      <c r="L26" s="48">
        <f t="shared" si="0"/>
        <v>0.11801585379773755</v>
      </c>
      <c r="M26" s="6">
        <v>0.35</v>
      </c>
      <c r="N26" s="76"/>
      <c r="O26" s="68"/>
      <c r="P26" s="68"/>
      <c r="Q26" s="67"/>
      <c r="R26" s="67"/>
      <c r="S26" s="68"/>
      <c r="T26" s="68"/>
      <c r="U26" s="70"/>
      <c r="W26" s="80"/>
      <c r="Y26" s="10" t="s">
        <v>52</v>
      </c>
      <c r="Z26" s="62">
        <v>45727</v>
      </c>
      <c r="AA26" s="59"/>
      <c r="AB26" s="63">
        <v>40.023532670246631</v>
      </c>
      <c r="AC26" s="64">
        <v>31.054760029077531</v>
      </c>
      <c r="AD26" s="65">
        <v>20.717870235443115</v>
      </c>
      <c r="AE26" s="60">
        <v>68.917397080699999</v>
      </c>
      <c r="AF26" s="61">
        <v>1.5290942292200002E-5</v>
      </c>
      <c r="AG26" s="61">
        <f t="shared" si="3"/>
        <v>628829.89954208606</v>
      </c>
      <c r="AH26" s="65">
        <v>40.079717921201905</v>
      </c>
      <c r="AI26" s="48">
        <f t="shared" si="1"/>
        <v>0.14038053916475379</v>
      </c>
      <c r="AJ26" s="52">
        <v>0.15</v>
      </c>
      <c r="AK26" s="76"/>
      <c r="AL26" s="68"/>
      <c r="AM26" s="68"/>
      <c r="AN26" s="67"/>
      <c r="AO26" s="67"/>
      <c r="AP26" s="68"/>
      <c r="AQ26" s="68"/>
      <c r="AR26" s="70"/>
      <c r="AT26" s="80"/>
      <c r="AV26" s="10" t="s">
        <v>52</v>
      </c>
      <c r="AW26" s="58">
        <v>45670.592719907407</v>
      </c>
      <c r="AX26" s="59">
        <v>8.1999999999999993</v>
      </c>
      <c r="AY26" s="47">
        <v>34.138121348722699</v>
      </c>
      <c r="AZ26" s="47">
        <v>31.510604792241104</v>
      </c>
      <c r="BA26" s="47">
        <v>24.597810179765887</v>
      </c>
      <c r="BB26" s="47">
        <v>68.193176628441861</v>
      </c>
      <c r="BC26" s="47">
        <v>547449.44943598087</v>
      </c>
      <c r="BD26" s="47">
        <v>33.986103358695651</v>
      </c>
      <c r="BE26" s="48">
        <f t="shared" si="2"/>
        <v>-0.44530274081041549</v>
      </c>
      <c r="BF26" s="52">
        <v>0.22598917375022717</v>
      </c>
      <c r="BG26" s="76"/>
      <c r="BH26" s="68"/>
      <c r="BI26" s="68"/>
      <c r="BJ26" s="67"/>
      <c r="BK26" s="67"/>
      <c r="BL26" s="68"/>
      <c r="BM26" s="68"/>
      <c r="BN26" s="70"/>
      <c r="BP26" s="80"/>
      <c r="BS26" s="68"/>
      <c r="BT26" s="68"/>
      <c r="BU26" s="68"/>
      <c r="BV26" s="68"/>
      <c r="BW26" s="68"/>
      <c r="BX26" s="68"/>
      <c r="BZ26" s="69"/>
      <c r="CA26" s="70"/>
      <c r="CB26" s="68"/>
      <c r="CC26" s="68"/>
      <c r="CD26" s="68"/>
      <c r="CF26" s="67"/>
      <c r="CG26" s="67"/>
      <c r="CH26" s="71"/>
      <c r="CI26" s="67"/>
      <c r="CJ26" s="67"/>
      <c r="CK26" s="71"/>
      <c r="CL26" s="75"/>
      <c r="CM26" s="67"/>
      <c r="CN26" s="71"/>
    </row>
    <row r="27" spans="2:92">
      <c r="B27" s="46"/>
      <c r="C27" s="10" t="s">
        <v>52</v>
      </c>
      <c r="D27" s="54">
        <v>45483.573599536998</v>
      </c>
      <c r="E27" s="9">
        <v>19</v>
      </c>
      <c r="F27" s="47">
        <v>40.3172076205962</v>
      </c>
      <c r="G27" s="47">
        <v>31.354533221891877</v>
      </c>
      <c r="H27" s="47">
        <v>19.9399520759005</v>
      </c>
      <c r="I27" s="47">
        <v>70.005337121080203</v>
      </c>
      <c r="J27" s="57">
        <v>644228.537264443</v>
      </c>
      <c r="K27" s="47">
        <v>40.371599841193202</v>
      </c>
      <c r="L27" s="48">
        <f t="shared" si="0"/>
        <v>0.13491068406537046</v>
      </c>
      <c r="M27" s="6">
        <v>0.35</v>
      </c>
      <c r="N27" s="76"/>
      <c r="O27" s="68"/>
      <c r="P27" s="68"/>
      <c r="Q27" s="67"/>
      <c r="R27" s="67"/>
      <c r="S27" s="68"/>
      <c r="T27" s="68"/>
      <c r="U27" s="70"/>
      <c r="W27" s="80"/>
      <c r="Y27" s="10" t="s">
        <v>52</v>
      </c>
      <c r="Z27" s="62">
        <v>45727</v>
      </c>
      <c r="AA27" s="59"/>
      <c r="AB27" s="63">
        <v>40.016623999950703</v>
      </c>
      <c r="AC27" s="64">
        <v>31.058530940331519</v>
      </c>
      <c r="AD27" s="65">
        <v>20.725347518920898</v>
      </c>
      <c r="AE27" s="60">
        <v>68.912779269200001</v>
      </c>
      <c r="AF27" s="61">
        <v>1.5291411334200001E-5</v>
      </c>
      <c r="AG27" s="61">
        <f t="shared" si="3"/>
        <v>628704.34375279746</v>
      </c>
      <c r="AH27" s="65">
        <v>40.075629822678728</v>
      </c>
      <c r="AI27" s="48">
        <f t="shared" si="1"/>
        <v>0.14745327523905546</v>
      </c>
      <c r="AJ27" s="52">
        <v>0.15</v>
      </c>
      <c r="AK27" s="76"/>
      <c r="AL27" s="68"/>
      <c r="AM27" s="68"/>
      <c r="AN27" s="67"/>
      <c r="AO27" s="67"/>
      <c r="AP27" s="68"/>
      <c r="AQ27" s="68"/>
      <c r="AR27" s="70"/>
      <c r="AT27" s="80"/>
      <c r="AV27" s="10" t="s">
        <v>52</v>
      </c>
      <c r="AW27" s="58">
        <v>45670.594236111108</v>
      </c>
      <c r="AX27" s="59">
        <v>8.3000000000000007</v>
      </c>
      <c r="AY27" s="47">
        <v>34.142111606587086</v>
      </c>
      <c r="AZ27" s="47">
        <v>31.507015607984766</v>
      </c>
      <c r="BA27" s="47">
        <v>24.641062511705684</v>
      </c>
      <c r="BB27" s="47">
        <v>68.162535144968601</v>
      </c>
      <c r="BC27" s="47">
        <v>547234.69081637985</v>
      </c>
      <c r="BD27" s="47">
        <v>33.992237917224081</v>
      </c>
      <c r="BE27" s="48">
        <f t="shared" si="2"/>
        <v>-0.43897018172153685</v>
      </c>
      <c r="BF27" s="52">
        <v>0.2264112072693471</v>
      </c>
      <c r="BG27" s="76"/>
      <c r="BH27" s="68"/>
      <c r="BI27" s="68"/>
      <c r="BJ27" s="67"/>
      <c r="BK27" s="67"/>
      <c r="BL27" s="68"/>
      <c r="BM27" s="68"/>
      <c r="BN27" s="70"/>
      <c r="BP27" s="80"/>
      <c r="BS27" s="68"/>
      <c r="BT27" s="68"/>
      <c r="BU27" s="68"/>
      <c r="BV27" s="68"/>
      <c r="BW27" s="68"/>
      <c r="BX27" s="68"/>
      <c r="BZ27" s="69"/>
      <c r="CA27" s="70"/>
      <c r="CB27" s="68"/>
      <c r="CC27" s="68"/>
      <c r="CD27" s="68"/>
      <c r="CF27" s="67"/>
      <c r="CG27" s="67"/>
      <c r="CH27" s="71"/>
      <c r="CI27" s="67"/>
      <c r="CJ27" s="67"/>
      <c r="CK27" s="71"/>
      <c r="CL27" s="75"/>
      <c r="CM27" s="67"/>
      <c r="CN27" s="71"/>
    </row>
    <row r="28" spans="2:92">
      <c r="B28" s="46"/>
      <c r="C28" s="10" t="s">
        <v>52</v>
      </c>
      <c r="D28" s="54">
        <v>45483.5886342593</v>
      </c>
      <c r="E28" s="9">
        <v>20</v>
      </c>
      <c r="F28" s="47">
        <v>20.4295023113059</v>
      </c>
      <c r="G28" s="47">
        <v>31.353862133742066</v>
      </c>
      <c r="H28" s="47">
        <v>19.870076826137101</v>
      </c>
      <c r="I28" s="47">
        <v>70.036829209507601</v>
      </c>
      <c r="J28" s="57">
        <v>326657.483826752</v>
      </c>
      <c r="K28" s="47">
        <v>20.4678437878088</v>
      </c>
      <c r="L28" s="48">
        <f t="shared" si="0"/>
        <v>0.18767699730835652</v>
      </c>
      <c r="M28" s="6">
        <v>0.35</v>
      </c>
      <c r="N28" s="76">
        <f>AVERAGE(L28:L30)</f>
        <v>0.28659242544871238</v>
      </c>
      <c r="O28" s="68">
        <f t="shared" ref="O28" si="132">STDEV(L28:L30)</f>
        <v>8.6044578796434193E-2</v>
      </c>
      <c r="P28" s="68">
        <f t="shared" ref="P28" si="133">COUNT(M28:M30)</f>
        <v>3</v>
      </c>
      <c r="Q28" s="67">
        <f t="shared" ref="Q28" si="134">TINV(0.05,P28-1)</f>
        <v>4.3026527297494637</v>
      </c>
      <c r="R28" s="67">
        <f t="shared" ref="R28" si="135">O28*Q28/SQRT(P28)</f>
        <v>0.21374658307989508</v>
      </c>
      <c r="S28" s="68">
        <f t="shared" ref="S28" si="136">AVERAGE(M28:M30)</f>
        <v>0.34999999999999992</v>
      </c>
      <c r="T28" s="68">
        <f t="shared" ref="T28" si="137">SQRT(R28^2+S28^2)</f>
        <v>0.41010681752237482</v>
      </c>
      <c r="U28" s="70">
        <f>AVERAGE(F28:F30)</f>
        <v>20.337240057116066</v>
      </c>
      <c r="W28" s="80">
        <f t="shared" ref="W28" si="138">AVERAGE(J28:J30)</f>
        <v>325275.47097814031</v>
      </c>
      <c r="Y28" s="10"/>
      <c r="Z28" s="58"/>
      <c r="AA28" s="59"/>
      <c r="AB28" s="47"/>
      <c r="AC28" s="47"/>
      <c r="AD28" s="47"/>
      <c r="AE28" s="60"/>
      <c r="AF28" s="61"/>
      <c r="AG28" s="61"/>
      <c r="AH28" s="47"/>
      <c r="AI28" s="48"/>
      <c r="AJ28" s="52"/>
      <c r="AK28" s="76"/>
      <c r="AL28" s="68"/>
      <c r="AM28" s="68"/>
      <c r="AN28" s="67"/>
      <c r="AO28" s="67"/>
      <c r="AP28" s="68"/>
      <c r="AQ28" s="68"/>
      <c r="AR28" s="70"/>
      <c r="AT28" s="80"/>
      <c r="AV28" s="10" t="s">
        <v>52</v>
      </c>
      <c r="AW28" s="58">
        <v>45670.597268518519</v>
      </c>
      <c r="AX28" s="59">
        <v>9.1</v>
      </c>
      <c r="AY28" s="47">
        <v>24.453691563653553</v>
      </c>
      <c r="AZ28" s="47">
        <v>31.527142050829426</v>
      </c>
      <c r="BA28" s="47">
        <v>24.654068516290728</v>
      </c>
      <c r="BB28" s="47">
        <v>68.205991123936855</v>
      </c>
      <c r="BC28" s="47">
        <v>392132.94686165638</v>
      </c>
      <c r="BD28" s="47">
        <v>24.340957381787803</v>
      </c>
      <c r="BE28" s="48">
        <f t="shared" si="2"/>
        <v>-0.46101089306823373</v>
      </c>
      <c r="BF28" s="52">
        <v>0.22301928559607057</v>
      </c>
      <c r="BG28" s="76">
        <f>AVERAGE(BE28:BE30)</f>
        <v>-0.5081838211596067</v>
      </c>
      <c r="BH28" s="68">
        <f t="shared" ref="BH28" si="139">STDEV(BE28:BE30)</f>
        <v>4.5970068339879322E-2</v>
      </c>
      <c r="BI28" s="68">
        <f t="shared" ref="BI28" si="140">COUNT(BF28:BF30)</f>
        <v>3</v>
      </c>
      <c r="BJ28" s="67">
        <f t="shared" ref="BJ28" si="141">TINV(0.05,BI28-1)</f>
        <v>4.3026527297494637</v>
      </c>
      <c r="BK28" s="67">
        <f t="shared" ref="BK28" si="142">BH28*BJ28/SQRT(BI28)</f>
        <v>0.11419598037483417</v>
      </c>
      <c r="BL28" s="68">
        <f t="shared" ref="BL28" si="143">AVERAGE(BF28:BF30)</f>
        <v>0.22323891540630506</v>
      </c>
      <c r="BM28" s="68">
        <f t="shared" ref="BM28" si="144">SQRT(BK28^2+BL28^2)</f>
        <v>0.25075154094352625</v>
      </c>
      <c r="BN28" s="70">
        <f>AVERAGE(AY28:AY30)</f>
        <v>24.452113003249561</v>
      </c>
      <c r="BP28" s="80">
        <f t="shared" ref="BP28" si="145">AVERAGE(BC28:BC30)</f>
        <v>392152.01406937069</v>
      </c>
      <c r="BS28" s="68">
        <f>N28*BT28</f>
        <v>1.7040044713072149</v>
      </c>
      <c r="BT28" s="68">
        <f>1/T28^2</f>
        <v>5.9457414781262523</v>
      </c>
      <c r="BU28" s="68"/>
      <c r="BV28" s="68"/>
      <c r="BW28" s="68">
        <f>BG28*BX28</f>
        <v>-8.082274815344908</v>
      </c>
      <c r="BX28" s="68">
        <f>1/BM28^2</f>
        <v>15.904234804056237</v>
      </c>
      <c r="BZ28" s="69">
        <f>AVERAGE(W28,AT28,BP28)</f>
        <v>358713.74252375553</v>
      </c>
      <c r="CA28" s="70">
        <f>AVERAGE(U28,AR28,BN28)</f>
        <v>22.394676530182814</v>
      </c>
      <c r="CB28" s="68">
        <f t="shared" ref="CB28" si="146">SUM(BS28,BU28,BW28)/SUM(BT28,BV28,BX28)</f>
        <v>-0.29191200309168475</v>
      </c>
      <c r="CC28" s="68">
        <f>SUM(BT28,BV28,BX28)</f>
        <v>21.849976282182489</v>
      </c>
      <c r="CD28" s="68">
        <f t="shared" ref="CD28" si="147">SQRT(CC28^-1)</f>
        <v>0.21393139102982298</v>
      </c>
      <c r="CF28" s="67">
        <f>N28-CB28</f>
        <v>0.57850442854039708</v>
      </c>
      <c r="CG28" s="67">
        <f>SQRT(T28^2-CD28^2)</f>
        <v>0.34988706993882385</v>
      </c>
      <c r="CH28" s="71">
        <f t="shared" ref="CH28" si="148">ABS(CF28/CG28)</f>
        <v>1.6534032784965329</v>
      </c>
      <c r="CI28" s="67">
        <f t="shared" ref="CI28" si="149">AK28-CB28</f>
        <v>0.29191200309168475</v>
      </c>
      <c r="CJ28" s="67"/>
      <c r="CK28" s="71"/>
      <c r="CL28" s="75">
        <f>BG28-CB28</f>
        <v>-0.21627181806792195</v>
      </c>
      <c r="CM28" s="67">
        <f>SQRT(BM28^2-CD28^2)</f>
        <v>0.13080403364421869</v>
      </c>
      <c r="CN28" s="71">
        <f t="shared" ref="CN28" si="150">ABS(CL28/CM28)</f>
        <v>1.6534032784965327</v>
      </c>
    </row>
    <row r="29" spans="2:92">
      <c r="B29" s="46"/>
      <c r="C29" s="10" t="s">
        <v>52</v>
      </c>
      <c r="D29" s="54">
        <v>45483.601782407401</v>
      </c>
      <c r="E29" s="9">
        <v>21</v>
      </c>
      <c r="F29" s="47">
        <v>20.3152856974489</v>
      </c>
      <c r="G29" s="47">
        <v>31.365199067001232</v>
      </c>
      <c r="H29" s="47">
        <v>19.867981541751501</v>
      </c>
      <c r="I29" s="47">
        <v>70.070188382997998</v>
      </c>
      <c r="J29" s="57">
        <v>324979.28317050199</v>
      </c>
      <c r="K29" s="47">
        <v>20.381911422937101</v>
      </c>
      <c r="L29" s="48">
        <f t="shared" si="0"/>
        <v>0.32795859472735733</v>
      </c>
      <c r="M29" s="6">
        <v>0.35</v>
      </c>
      <c r="N29" s="76"/>
      <c r="O29" s="68"/>
      <c r="P29" s="68"/>
      <c r="Q29" s="67"/>
      <c r="R29" s="67"/>
      <c r="S29" s="68"/>
      <c r="T29" s="68"/>
      <c r="U29" s="70"/>
      <c r="W29" s="80"/>
      <c r="Y29" s="10"/>
      <c r="Z29" s="58"/>
      <c r="AA29" s="59"/>
      <c r="AB29" s="47"/>
      <c r="AC29" s="47"/>
      <c r="AD29" s="47"/>
      <c r="AE29" s="60"/>
      <c r="AF29" s="61"/>
      <c r="AG29" s="61"/>
      <c r="AH29" s="47"/>
      <c r="AI29" s="48"/>
      <c r="AJ29" s="52"/>
      <c r="AK29" s="76"/>
      <c r="AL29" s="68"/>
      <c r="AM29" s="68"/>
      <c r="AN29" s="67"/>
      <c r="AO29" s="67"/>
      <c r="AP29" s="68"/>
      <c r="AQ29" s="68"/>
      <c r="AR29" s="70"/>
      <c r="AT29" s="80"/>
      <c r="AV29" s="10" t="s">
        <v>52</v>
      </c>
      <c r="AW29" s="58">
        <v>45670.599374999998</v>
      </c>
      <c r="AX29" s="59">
        <v>9.1999999999999993</v>
      </c>
      <c r="AY29" s="47">
        <v>24.452047328627245</v>
      </c>
      <c r="AZ29" s="47">
        <v>31.531816056121908</v>
      </c>
      <c r="BA29" s="47">
        <v>24.638335576441101</v>
      </c>
      <c r="BB29" s="47">
        <v>68.221893815721145</v>
      </c>
      <c r="BC29" s="47">
        <v>392194.74239643558</v>
      </c>
      <c r="BD29" s="47">
        <v>24.327172616541354</v>
      </c>
      <c r="BE29" s="48">
        <f t="shared" si="2"/>
        <v>-0.51069225577562871</v>
      </c>
      <c r="BF29" s="52">
        <v>0.2232011775431158</v>
      </c>
      <c r="BG29" s="76"/>
      <c r="BH29" s="68"/>
      <c r="BI29" s="68"/>
      <c r="BJ29" s="67"/>
      <c r="BK29" s="67"/>
      <c r="BL29" s="68"/>
      <c r="BM29" s="68"/>
      <c r="BN29" s="70"/>
      <c r="BP29" s="80"/>
      <c r="BS29" s="68"/>
      <c r="BT29" s="68"/>
      <c r="BU29" s="68"/>
      <c r="BV29" s="68"/>
      <c r="BW29" s="68"/>
      <c r="BX29" s="68"/>
      <c r="BZ29" s="69"/>
      <c r="CA29" s="70"/>
      <c r="CB29" s="68"/>
      <c r="CC29" s="68"/>
      <c r="CD29" s="68"/>
      <c r="CF29" s="67"/>
      <c r="CG29" s="67"/>
      <c r="CH29" s="71"/>
      <c r="CI29" s="67"/>
      <c r="CJ29" s="67"/>
      <c r="CK29" s="71"/>
      <c r="CL29" s="75"/>
      <c r="CM29" s="67"/>
      <c r="CN29" s="71"/>
    </row>
    <row r="30" spans="2:92">
      <c r="B30" s="46"/>
      <c r="C30" s="10" t="s">
        <v>52</v>
      </c>
      <c r="D30" s="54">
        <v>45483.615127314799</v>
      </c>
      <c r="E30" s="9">
        <v>22</v>
      </c>
      <c r="F30" s="47">
        <v>20.266932162593399</v>
      </c>
      <c r="G30" s="47">
        <v>31.375941808271854</v>
      </c>
      <c r="H30" s="47">
        <v>19.915417339653199</v>
      </c>
      <c r="I30" s="47">
        <v>70.078256328476499</v>
      </c>
      <c r="J30" s="57">
        <v>324189.64593716699</v>
      </c>
      <c r="K30" s="47">
        <v>20.336679124295799</v>
      </c>
      <c r="L30" s="48">
        <f t="shared" si="0"/>
        <v>0.34414168431042319</v>
      </c>
      <c r="M30" s="6">
        <v>0.35</v>
      </c>
      <c r="N30" s="76"/>
      <c r="O30" s="68"/>
      <c r="P30" s="68"/>
      <c r="Q30" s="67"/>
      <c r="R30" s="67"/>
      <c r="S30" s="68"/>
      <c r="T30" s="68"/>
      <c r="U30" s="70"/>
      <c r="W30" s="80"/>
      <c r="Y30" s="10"/>
      <c r="Z30" s="58"/>
      <c r="AA30" s="59"/>
      <c r="AB30" s="47"/>
      <c r="AC30" s="47"/>
      <c r="AD30" s="47"/>
      <c r="AE30" s="60"/>
      <c r="AF30" s="61"/>
      <c r="AG30" s="61"/>
      <c r="AH30" s="47"/>
      <c r="AI30" s="48"/>
      <c r="AJ30" s="52"/>
      <c r="AK30" s="76"/>
      <c r="AL30" s="68"/>
      <c r="AM30" s="68"/>
      <c r="AN30" s="67"/>
      <c r="AO30" s="67"/>
      <c r="AP30" s="68"/>
      <c r="AQ30" s="68"/>
      <c r="AR30" s="70"/>
      <c r="AT30" s="80"/>
      <c r="AV30" s="10" t="s">
        <v>52</v>
      </c>
      <c r="AW30" s="58">
        <v>45670.600914351853</v>
      </c>
      <c r="AX30" s="59">
        <v>9.3000000000000007</v>
      </c>
      <c r="AY30" s="47">
        <v>24.450600117467889</v>
      </c>
      <c r="AZ30" s="47">
        <v>31.52550131720621</v>
      </c>
      <c r="BA30" s="47">
        <v>24.621281977443608</v>
      </c>
      <c r="BB30" s="47">
        <v>68.209858364359988</v>
      </c>
      <c r="BC30" s="47">
        <v>392128.35295002005</v>
      </c>
      <c r="BD30" s="47">
        <v>24.315425386800335</v>
      </c>
      <c r="BE30" s="48">
        <f t="shared" si="2"/>
        <v>-0.55284831463495743</v>
      </c>
      <c r="BF30" s="52">
        <v>0.2234962830797288</v>
      </c>
      <c r="BG30" s="76"/>
      <c r="BH30" s="68"/>
      <c r="BI30" s="68"/>
      <c r="BJ30" s="67"/>
      <c r="BK30" s="67"/>
      <c r="BL30" s="68"/>
      <c r="BM30" s="68"/>
      <c r="BN30" s="70"/>
      <c r="BP30" s="80"/>
      <c r="BS30" s="68"/>
      <c r="BT30" s="68"/>
      <c r="BU30" s="68"/>
      <c r="BV30" s="68"/>
      <c r="BW30" s="68"/>
      <c r="BX30" s="68"/>
      <c r="BZ30" s="69"/>
      <c r="CA30" s="70"/>
      <c r="CB30" s="68"/>
      <c r="CC30" s="68"/>
      <c r="CD30" s="68"/>
      <c r="CF30" s="67"/>
      <c r="CG30" s="67"/>
      <c r="CH30" s="71"/>
      <c r="CI30" s="67"/>
      <c r="CJ30" s="67"/>
      <c r="CK30" s="71"/>
      <c r="CL30" s="75"/>
      <c r="CM30" s="67"/>
      <c r="CN30" s="71"/>
    </row>
    <row r="31" spans="2:92">
      <c r="AU31" s="18"/>
      <c r="AV31" s="18"/>
      <c r="AW31" s="45"/>
      <c r="AX31" s="23"/>
      <c r="AY31" s="24"/>
      <c r="AZ31" s="25"/>
      <c r="BA31" s="25"/>
      <c r="BB31" s="25"/>
      <c r="BC31" s="25"/>
      <c r="BD31" s="25"/>
      <c r="BE31" s="25"/>
      <c r="BF31" s="25"/>
      <c r="BS31" s="26"/>
    </row>
    <row r="32" spans="2:92">
      <c r="BF32" s="25"/>
      <c r="BS32" s="26"/>
    </row>
    <row r="33" spans="2:92">
      <c r="BF33" s="25"/>
      <c r="BS33" s="26"/>
    </row>
    <row r="34" spans="2:92">
      <c r="BF34" s="25"/>
      <c r="BS34" s="26"/>
    </row>
    <row r="35" spans="2:92">
      <c r="S35" s="7"/>
      <c r="T35" s="7"/>
      <c r="U35" s="7"/>
      <c r="V35" s="7"/>
      <c r="W35" s="7"/>
      <c r="X35" s="7"/>
      <c r="BF35" s="25"/>
      <c r="BP35" s="7"/>
      <c r="BS35" s="26"/>
    </row>
    <row r="36" spans="2:92">
      <c r="S36" s="7"/>
      <c r="T36" s="7"/>
      <c r="U36" s="7"/>
      <c r="V36" s="7"/>
      <c r="W36" s="7"/>
      <c r="X36" s="7"/>
      <c r="BF36" s="25"/>
      <c r="BP36" s="7"/>
      <c r="BS36" s="26"/>
    </row>
    <row r="37" spans="2:92">
      <c r="S37" s="7"/>
      <c r="T37" s="7"/>
      <c r="U37" s="7"/>
      <c r="V37" s="7"/>
      <c r="W37" s="7"/>
      <c r="X37" s="7"/>
      <c r="BF37" s="25"/>
      <c r="BP37" s="7"/>
      <c r="BS37" s="26"/>
    </row>
    <row r="38" spans="2:92">
      <c r="C38" s="7" t="s">
        <v>10</v>
      </c>
      <c r="D38" s="53" t="s">
        <v>53</v>
      </c>
      <c r="S38" s="7"/>
      <c r="T38" s="7"/>
      <c r="U38" s="7"/>
      <c r="V38" s="7"/>
      <c r="W38" s="7"/>
      <c r="X38" s="7"/>
      <c r="AE38" s="78" t="s">
        <v>12</v>
      </c>
      <c r="AF38" s="78"/>
      <c r="AG38" s="78"/>
      <c r="BF38" s="25"/>
      <c r="BP38" s="7"/>
      <c r="BS38" s="26"/>
    </row>
    <row r="39" spans="2:92" ht="21">
      <c r="C39" s="1" t="s">
        <v>13</v>
      </c>
      <c r="E39" s="2"/>
      <c r="F39" s="1"/>
      <c r="G39" s="3"/>
      <c r="H39" s="3"/>
      <c r="I39" s="3"/>
      <c r="J39" s="3"/>
      <c r="K39" s="2"/>
      <c r="L39" s="3"/>
      <c r="M39" s="3"/>
      <c r="N39" s="3"/>
      <c r="Y39" s="1" t="s">
        <v>13</v>
      </c>
      <c r="Z39" s="1"/>
      <c r="AV39" s="1" t="s">
        <v>13</v>
      </c>
      <c r="AW39" s="1"/>
      <c r="BF39" s="25"/>
      <c r="BS39" s="73" t="s">
        <v>2</v>
      </c>
      <c r="BT39" s="73"/>
      <c r="BU39" s="74" t="s">
        <v>3</v>
      </c>
      <c r="BV39" s="74"/>
      <c r="BW39" s="72" t="s">
        <v>4</v>
      </c>
      <c r="BX39" s="72"/>
      <c r="CF39" s="73" t="s">
        <v>2</v>
      </c>
      <c r="CG39" s="73"/>
      <c r="CH39" s="73"/>
      <c r="CI39" s="74" t="s">
        <v>3</v>
      </c>
      <c r="CJ39" s="74"/>
      <c r="CK39" s="74"/>
      <c r="CL39" s="72" t="s">
        <v>4</v>
      </c>
      <c r="CM39" s="72"/>
      <c r="CN39" s="72"/>
    </row>
    <row r="40" spans="2:92" ht="46.5">
      <c r="C40" s="13" t="s">
        <v>14</v>
      </c>
      <c r="D40" s="13" t="s">
        <v>15</v>
      </c>
      <c r="E40" s="8" t="s">
        <v>16</v>
      </c>
      <c r="F40" s="14" t="s">
        <v>17</v>
      </c>
      <c r="G40" s="14" t="s">
        <v>18</v>
      </c>
      <c r="H40" s="14" t="s">
        <v>19</v>
      </c>
      <c r="I40" s="14" t="s">
        <v>20</v>
      </c>
      <c r="J40" s="55" t="s">
        <v>21</v>
      </c>
      <c r="K40" s="14" t="s">
        <v>22</v>
      </c>
      <c r="L40" s="14" t="s">
        <v>23</v>
      </c>
      <c r="M40" s="4" t="s">
        <v>24</v>
      </c>
      <c r="N40" s="34" t="s">
        <v>25</v>
      </c>
      <c r="O40" s="34" t="s">
        <v>26</v>
      </c>
      <c r="P40" s="34" t="s">
        <v>27</v>
      </c>
      <c r="Q40" s="34" t="s">
        <v>28</v>
      </c>
      <c r="R40" s="34" t="s">
        <v>29</v>
      </c>
      <c r="S40" s="34" t="s">
        <v>30</v>
      </c>
      <c r="T40" s="34" t="s">
        <v>31</v>
      </c>
      <c r="U40" s="34" t="s">
        <v>32</v>
      </c>
      <c r="W40" s="34" t="s">
        <v>33</v>
      </c>
      <c r="Y40" s="13" t="s">
        <v>14</v>
      </c>
      <c r="Z40" s="13" t="s">
        <v>15</v>
      </c>
      <c r="AA40" s="8" t="s">
        <v>16</v>
      </c>
      <c r="AB40" s="14" t="s">
        <v>17</v>
      </c>
      <c r="AC40" s="14" t="s">
        <v>18</v>
      </c>
      <c r="AD40" s="14" t="s">
        <v>19</v>
      </c>
      <c r="AE40" s="14" t="s">
        <v>20</v>
      </c>
      <c r="AF40" s="14" t="s">
        <v>34</v>
      </c>
      <c r="AG40" s="55" t="s">
        <v>21</v>
      </c>
      <c r="AH40" s="14" t="s">
        <v>22</v>
      </c>
      <c r="AI40" s="14" t="s">
        <v>23</v>
      </c>
      <c r="AJ40" s="4" t="s">
        <v>24</v>
      </c>
      <c r="AK40" s="34" t="s">
        <v>25</v>
      </c>
      <c r="AL40" s="34" t="s">
        <v>26</v>
      </c>
      <c r="AM40" s="34" t="s">
        <v>27</v>
      </c>
      <c r="AN40" s="34" t="s">
        <v>28</v>
      </c>
      <c r="AO40" s="34" t="s">
        <v>29</v>
      </c>
      <c r="AP40" s="34" t="s">
        <v>30</v>
      </c>
      <c r="AQ40" s="34" t="s">
        <v>31</v>
      </c>
      <c r="AR40" s="34" t="s">
        <v>32</v>
      </c>
      <c r="AT40" s="34" t="s">
        <v>33</v>
      </c>
      <c r="AU40" s="19"/>
      <c r="AV40" s="13" t="s">
        <v>14</v>
      </c>
      <c r="AW40" s="13" t="s">
        <v>15</v>
      </c>
      <c r="AX40" s="8" t="s">
        <v>16</v>
      </c>
      <c r="AY40" s="14" t="s">
        <v>17</v>
      </c>
      <c r="AZ40" s="14" t="s">
        <v>18</v>
      </c>
      <c r="BA40" s="14" t="s">
        <v>19</v>
      </c>
      <c r="BB40" s="14" t="s">
        <v>20</v>
      </c>
      <c r="BC40" s="55" t="s">
        <v>21</v>
      </c>
      <c r="BD40" s="14" t="s">
        <v>22</v>
      </c>
      <c r="BE40" s="14" t="s">
        <v>23</v>
      </c>
      <c r="BF40" s="4" t="s">
        <v>24</v>
      </c>
      <c r="BG40" s="34" t="s">
        <v>25</v>
      </c>
      <c r="BH40" s="34" t="s">
        <v>26</v>
      </c>
      <c r="BI40" s="34" t="s">
        <v>27</v>
      </c>
      <c r="BJ40" s="34" t="s">
        <v>28</v>
      </c>
      <c r="BK40" s="34" t="s">
        <v>29</v>
      </c>
      <c r="BL40" s="34" t="s">
        <v>30</v>
      </c>
      <c r="BM40" s="34" t="s">
        <v>31</v>
      </c>
      <c r="BN40" s="34" t="s">
        <v>32</v>
      </c>
      <c r="BP40" s="34" t="s">
        <v>33</v>
      </c>
      <c r="BS40" s="30" t="s">
        <v>35</v>
      </c>
      <c r="BT40" s="30" t="s">
        <v>36</v>
      </c>
      <c r="BU40" s="30" t="s">
        <v>35</v>
      </c>
      <c r="BV40" s="30" t="s">
        <v>36</v>
      </c>
      <c r="BW40" s="30" t="s">
        <v>35</v>
      </c>
      <c r="BX40" s="30" t="s">
        <v>36</v>
      </c>
      <c r="BZ40" s="30" t="s">
        <v>37</v>
      </c>
      <c r="CA40" s="30" t="s">
        <v>38</v>
      </c>
      <c r="CB40" s="30" t="s">
        <v>39</v>
      </c>
      <c r="CC40" s="30" t="s">
        <v>40</v>
      </c>
      <c r="CD40" s="30" t="s">
        <v>41</v>
      </c>
      <c r="CF40" s="30" t="s">
        <v>42</v>
      </c>
      <c r="CG40" s="30" t="s">
        <v>43</v>
      </c>
      <c r="CH40" s="30" t="s">
        <v>44</v>
      </c>
      <c r="CI40" s="30" t="s">
        <v>42</v>
      </c>
      <c r="CJ40" s="30" t="s">
        <v>43</v>
      </c>
      <c r="CK40" s="30" t="s">
        <v>44</v>
      </c>
      <c r="CL40" s="30" t="s">
        <v>42</v>
      </c>
      <c r="CM40" s="30" t="s">
        <v>43</v>
      </c>
      <c r="CN40" s="30" t="s">
        <v>44</v>
      </c>
    </row>
    <row r="41" spans="2:92">
      <c r="C41" s="51" t="s">
        <v>45</v>
      </c>
      <c r="D41" s="15" t="s">
        <v>45</v>
      </c>
      <c r="E41" s="16" t="s">
        <v>45</v>
      </c>
      <c r="F41" s="17" t="s">
        <v>46</v>
      </c>
      <c r="G41" s="17" t="s">
        <v>47</v>
      </c>
      <c r="H41" s="17" t="s">
        <v>48</v>
      </c>
      <c r="I41" s="17" t="s">
        <v>49</v>
      </c>
      <c r="J41" s="56" t="s">
        <v>45</v>
      </c>
      <c r="K41" s="17" t="s">
        <v>46</v>
      </c>
      <c r="L41" s="17" t="s">
        <v>50</v>
      </c>
      <c r="M41" s="5" t="s">
        <v>50</v>
      </c>
      <c r="N41" s="35" t="s">
        <v>50</v>
      </c>
      <c r="O41" s="36"/>
      <c r="P41" s="36"/>
      <c r="Q41" s="36"/>
      <c r="R41" s="37" t="s">
        <v>50</v>
      </c>
      <c r="S41" s="22" t="s">
        <v>50</v>
      </c>
      <c r="T41" s="22" t="s">
        <v>50</v>
      </c>
      <c r="U41" s="22" t="s">
        <v>46</v>
      </c>
      <c r="W41" s="22" t="s">
        <v>45</v>
      </c>
      <c r="Y41" s="51" t="s">
        <v>45</v>
      </c>
      <c r="Z41" s="15" t="s">
        <v>45</v>
      </c>
      <c r="AA41" s="16" t="s">
        <v>45</v>
      </c>
      <c r="AB41" s="17" t="s">
        <v>46</v>
      </c>
      <c r="AC41" s="17" t="s">
        <v>47</v>
      </c>
      <c r="AD41" s="17" t="s">
        <v>48</v>
      </c>
      <c r="AE41" s="17" t="s">
        <v>49</v>
      </c>
      <c r="AF41" s="17" t="s">
        <v>51</v>
      </c>
      <c r="AG41" s="56" t="s">
        <v>45</v>
      </c>
      <c r="AH41" s="17" t="s">
        <v>46</v>
      </c>
      <c r="AI41" s="17" t="s">
        <v>50</v>
      </c>
      <c r="AJ41" s="5" t="s">
        <v>50</v>
      </c>
      <c r="AK41" s="35" t="s">
        <v>50</v>
      </c>
      <c r="AL41" s="36"/>
      <c r="AM41" s="36"/>
      <c r="AN41" s="36"/>
      <c r="AO41" s="37" t="s">
        <v>50</v>
      </c>
      <c r="AP41" s="22" t="s">
        <v>50</v>
      </c>
      <c r="AQ41" s="22" t="s">
        <v>50</v>
      </c>
      <c r="AR41" s="22" t="s">
        <v>46</v>
      </c>
      <c r="AT41" s="22" t="s">
        <v>45</v>
      </c>
      <c r="AU41" s="20"/>
      <c r="AV41" s="51" t="s">
        <v>45</v>
      </c>
      <c r="AW41" s="15" t="s">
        <v>45</v>
      </c>
      <c r="AX41" s="16" t="s">
        <v>45</v>
      </c>
      <c r="AY41" s="17" t="s">
        <v>46</v>
      </c>
      <c r="AZ41" s="17" t="s">
        <v>47</v>
      </c>
      <c r="BA41" s="17" t="s">
        <v>48</v>
      </c>
      <c r="BB41" s="17" t="s">
        <v>49</v>
      </c>
      <c r="BC41" s="56" t="s">
        <v>45</v>
      </c>
      <c r="BD41" s="17" t="s">
        <v>46</v>
      </c>
      <c r="BE41" s="17" t="s">
        <v>50</v>
      </c>
      <c r="BF41" s="5" t="s">
        <v>50</v>
      </c>
      <c r="BG41" s="35" t="s">
        <v>50</v>
      </c>
      <c r="BH41" s="36"/>
      <c r="BI41" s="36"/>
      <c r="BJ41" s="36"/>
      <c r="BK41" s="37" t="s">
        <v>50</v>
      </c>
      <c r="BL41" s="22" t="s">
        <v>50</v>
      </c>
      <c r="BM41" s="22" t="s">
        <v>50</v>
      </c>
      <c r="BN41" s="22" t="s">
        <v>46</v>
      </c>
      <c r="BP41" s="22" t="s">
        <v>45</v>
      </c>
      <c r="BS41" s="29"/>
      <c r="BT41" s="29"/>
      <c r="BU41" s="29"/>
      <c r="BV41" s="29"/>
      <c r="BW41" s="29"/>
      <c r="BX41" s="29"/>
      <c r="BZ41" s="29" t="s">
        <v>45</v>
      </c>
      <c r="CA41" s="29" t="s">
        <v>46</v>
      </c>
      <c r="CB41" s="29" t="s">
        <v>50</v>
      </c>
      <c r="CC41" s="29"/>
      <c r="CD41" s="29"/>
      <c r="CF41" s="29"/>
      <c r="CG41" s="29"/>
      <c r="CH41" s="29" t="s">
        <v>50</v>
      </c>
      <c r="CI41" s="29"/>
      <c r="CJ41" s="29"/>
      <c r="CK41" s="29" t="s">
        <v>50</v>
      </c>
      <c r="CL41" s="29"/>
      <c r="CM41" s="29"/>
      <c r="CN41" s="29" t="s">
        <v>50</v>
      </c>
    </row>
    <row r="42" spans="2:92">
      <c r="B42" s="49"/>
      <c r="C42" s="10" t="s">
        <v>52</v>
      </c>
      <c r="D42" s="54">
        <v>45484.409340277802</v>
      </c>
      <c r="E42" s="9">
        <v>2</v>
      </c>
      <c r="F42" s="47">
        <v>398.1693002765</v>
      </c>
      <c r="G42" s="47">
        <v>21.380655690301122</v>
      </c>
      <c r="H42" s="47">
        <v>20.063424406317001</v>
      </c>
      <c r="I42" s="48">
        <v>44.007337175697899</v>
      </c>
      <c r="J42" s="57">
        <v>4075439.3020042302</v>
      </c>
      <c r="K42" s="47">
        <v>399.90759797560798</v>
      </c>
      <c r="L42" s="48">
        <f t="shared" ref="L42:L59" si="151">(K42-F42)/F42*100</f>
        <v>0.43657250769983158</v>
      </c>
      <c r="M42" s="6">
        <v>0.35</v>
      </c>
      <c r="N42" s="76">
        <f>AVERAGE(L42:L44)</f>
        <v>0.44502175912248237</v>
      </c>
      <c r="O42" s="68">
        <f>STDEV(L42:L44)</f>
        <v>9.4856649325790344E-3</v>
      </c>
      <c r="P42" s="68">
        <f>COUNT(M42:M44)</f>
        <v>3</v>
      </c>
      <c r="Q42" s="67">
        <f>TINV(0.05,P42-1)</f>
        <v>4.3026527297494637</v>
      </c>
      <c r="R42" s="67">
        <f>O42*Q42/SQRT(P42)</f>
        <v>2.3563697980047243E-2</v>
      </c>
      <c r="S42" s="68">
        <f>AVERAGE(M42:M44)</f>
        <v>0.34999999999999992</v>
      </c>
      <c r="T42" s="68">
        <f>SQRT(R42^2+S42^2)</f>
        <v>0.35079231442905762</v>
      </c>
      <c r="U42" s="70">
        <f>AVERAGE(F42:F44)</f>
        <v>398.11541170916865</v>
      </c>
      <c r="W42" s="80">
        <f>AVERAGE(J42:J44)</f>
        <v>4076958.4785632435</v>
      </c>
      <c r="Y42" s="10" t="s">
        <v>52</v>
      </c>
      <c r="Z42" s="58">
        <v>45723</v>
      </c>
      <c r="AA42" s="59"/>
      <c r="AB42" s="47">
        <v>342.55856832337543</v>
      </c>
      <c r="AC42" s="47">
        <v>20.798092748641967</v>
      </c>
      <c r="AD42" s="47">
        <v>22.10601806640625</v>
      </c>
      <c r="AE42" s="60">
        <v>42.185368344099999</v>
      </c>
      <c r="AF42" s="61">
        <v>1.50671630006E-5</v>
      </c>
      <c r="AG42" s="61">
        <f>4*AE42*(AH42/3600)/(0.1016*PI()*AF42)</f>
        <v>3344876.1448829388</v>
      </c>
      <c r="AH42" s="47">
        <v>343.19090690085631</v>
      </c>
      <c r="AI42" s="48">
        <f t="shared" ref="AI42:AI59" si="152">(AH42-AB42)/AB42*100</f>
        <v>0.1845928363654159</v>
      </c>
      <c r="AJ42" s="52">
        <v>0.15</v>
      </c>
      <c r="AK42" s="76">
        <f>AVERAGE(AI42:AI44)</f>
        <v>0.18178136735812267</v>
      </c>
      <c r="AL42" s="68">
        <f>STDEV(AI42:AI44)</f>
        <v>7.9215156141710097E-3</v>
      </c>
      <c r="AM42" s="68">
        <f>COUNT(AJ42:AJ44)</f>
        <v>3</v>
      </c>
      <c r="AN42" s="67">
        <f>TINV(0.05,AM42-1)</f>
        <v>4.3026527297494637</v>
      </c>
      <c r="AO42" s="67">
        <f>AL42*AN42/SQRT(AM42)</f>
        <v>1.967813567138129E-2</v>
      </c>
      <c r="AP42" s="68">
        <f>AVERAGE(AJ42:AJ44)</f>
        <v>0.15</v>
      </c>
      <c r="AQ42" s="68">
        <f>SQRT(AO42^2+AP42^2)</f>
        <v>0.15128525712540958</v>
      </c>
      <c r="AR42" s="70">
        <f>AVERAGE(AB42:AB44)</f>
        <v>342.56643596109853</v>
      </c>
      <c r="AT42" s="80">
        <f>AVERAGE(AG42:AG44)</f>
        <v>3342471.453523559</v>
      </c>
      <c r="AV42" s="10" t="s">
        <v>52</v>
      </c>
      <c r="AW42" s="58">
        <v>45671.377418981479</v>
      </c>
      <c r="AX42" s="59">
        <v>11.1</v>
      </c>
      <c r="AY42" s="47">
        <v>386.67022554959385</v>
      </c>
      <c r="AZ42" s="47">
        <v>21.102280095723188</v>
      </c>
      <c r="BA42" s="47">
        <v>20.820433309106097</v>
      </c>
      <c r="BB42" s="47">
        <v>43.1056750165382</v>
      </c>
      <c r="BC42" s="47">
        <v>4166484.5903352308</v>
      </c>
      <c r="BD42" s="47">
        <v>386.72047439097742</v>
      </c>
      <c r="BE42" s="48">
        <f t="shared" ref="BE42:BE59" si="153">(BD42-AY42)/AY42*100</f>
        <v>1.2995270404423396E-2</v>
      </c>
      <c r="BF42" s="52">
        <v>0.26191144770214819</v>
      </c>
      <c r="BG42" s="76">
        <f>AVERAGE(BE42:BE44)</f>
        <v>-3.9621506756552559E-3</v>
      </c>
      <c r="BH42" s="68">
        <f>STDEV(BE42:BE44)</f>
        <v>1.6076767810341609E-2</v>
      </c>
      <c r="BI42" s="68">
        <f>COUNT(BF42:BF44)</f>
        <v>3</v>
      </c>
      <c r="BJ42" s="67">
        <f>TINV(0.05,BI42-1)</f>
        <v>4.3026527297494637</v>
      </c>
      <c r="BK42" s="67">
        <f>BH42*BJ42/SQRT(BI42)</f>
        <v>3.9936905200723384E-2</v>
      </c>
      <c r="BL42" s="68">
        <f>AVERAGE(BF42:BF44)</f>
        <v>0.23700411893867054</v>
      </c>
      <c r="BM42" s="68">
        <f>SQRT(BK42^2+BL42^2)</f>
        <v>0.24034539477782191</v>
      </c>
      <c r="BN42" s="70">
        <f>AVERAGE(AY42:AY44)</f>
        <v>386.604419060194</v>
      </c>
      <c r="BP42" s="80">
        <f>AVERAGE(BC42:BC44)</f>
        <v>4172588.2835406363</v>
      </c>
      <c r="BS42" s="68">
        <f>N42*BT42</f>
        <v>3.6164386879278929</v>
      </c>
      <c r="BT42" s="68">
        <f>1/T42^2</f>
        <v>8.1264311548697741</v>
      </c>
      <c r="BU42" s="68">
        <f>AK42*BV42</f>
        <v>7.9424803750364079</v>
      </c>
      <c r="BV42" s="68">
        <f>1/AQ42^2</f>
        <v>43.692488897330918</v>
      </c>
      <c r="BW42" s="68">
        <f>BG42*BX42</f>
        <v>-6.858977480986049E-2</v>
      </c>
      <c r="BX42" s="68">
        <f>1/BM42^2</f>
        <v>17.31124846697487</v>
      </c>
      <c r="BZ42" s="69">
        <f>AVERAGE(W42,AT42,BP42)</f>
        <v>3864006.071875813</v>
      </c>
      <c r="CA42" s="70">
        <f>AVERAGE(U42,AR42,BN42)</f>
        <v>375.76208891015375</v>
      </c>
      <c r="CB42" s="68">
        <f>SUM(BS42,BU42,BW42)/SUM(BT42,BV42,BX42)</f>
        <v>0.16621295064494471</v>
      </c>
      <c r="CC42" s="68">
        <f>SUM(BT42,BV42,BX42)</f>
        <v>69.130168519175569</v>
      </c>
      <c r="CD42" s="68">
        <f>SQRT(CC42^-1)</f>
        <v>0.12027245952565663</v>
      </c>
      <c r="CF42" s="67">
        <f>N42-CB42</f>
        <v>0.27880880847753764</v>
      </c>
      <c r="CG42" s="67">
        <f>SQRT(T42^2-CD42^2)</f>
        <v>0.32952963955029008</v>
      </c>
      <c r="CH42" s="71">
        <f>ABS(CF42/CG42)</f>
        <v>0.84608112598923946</v>
      </c>
      <c r="CI42" s="67">
        <f>AK42-CB42</f>
        <v>1.5568416713177963E-2</v>
      </c>
      <c r="CJ42" s="67">
        <f>SQRT(AQ42^2-CD42^2)</f>
        <v>9.1770172186558405E-2</v>
      </c>
      <c r="CK42" s="71">
        <f>ABS(CI42/CJ42)</f>
        <v>0.16964571758162475</v>
      </c>
      <c r="CL42" s="75">
        <f>BG42-CB42</f>
        <v>-0.17017510132059996</v>
      </c>
      <c r="CM42" s="67">
        <f>SQRT(BM42^2-CD42^2)</f>
        <v>0.20808758797813084</v>
      </c>
      <c r="CN42" s="71">
        <f>ABS(CL42/CM42)</f>
        <v>0.81780515106208385</v>
      </c>
    </row>
    <row r="43" spans="2:92">
      <c r="B43" s="49"/>
      <c r="C43" s="10" t="s">
        <v>52</v>
      </c>
      <c r="D43" s="54">
        <v>45484.415937500002</v>
      </c>
      <c r="E43" s="9">
        <v>3</v>
      </c>
      <c r="F43" s="47">
        <v>398.11743400324298</v>
      </c>
      <c r="G43" s="47">
        <v>21.384359643139167</v>
      </c>
      <c r="H43" s="47">
        <v>20.007389907265999</v>
      </c>
      <c r="I43" s="48">
        <v>44.028932809546397</v>
      </c>
      <c r="J43" s="57">
        <v>4077627.3384096799</v>
      </c>
      <c r="K43" s="47">
        <v>399.88193110356798</v>
      </c>
      <c r="L43" s="48">
        <f t="shared" si="151"/>
        <v>0.44321020624046042</v>
      </c>
      <c r="M43" s="6">
        <v>0.35</v>
      </c>
      <c r="N43" s="76"/>
      <c r="O43" s="68"/>
      <c r="P43" s="68"/>
      <c r="Q43" s="67"/>
      <c r="R43" s="67"/>
      <c r="S43" s="68"/>
      <c r="T43" s="68"/>
      <c r="U43" s="70"/>
      <c r="W43" s="80"/>
      <c r="Y43" s="10" t="s">
        <v>52</v>
      </c>
      <c r="Z43" s="58">
        <v>45723</v>
      </c>
      <c r="AA43" s="59"/>
      <c r="AB43" s="47">
        <v>342.51180151824451</v>
      </c>
      <c r="AC43" s="47">
        <v>20.798180507659911</v>
      </c>
      <c r="AD43" s="47">
        <v>22.217354297637939</v>
      </c>
      <c r="AE43" s="60">
        <v>42.161785254000002</v>
      </c>
      <c r="AF43" s="61">
        <v>1.50726159515E-5</v>
      </c>
      <c r="AG43" s="61">
        <f t="shared" ref="AG43:AG59" si="154">4*AE43*(AH43/3600)/(0.1016*PI()*AF43)</f>
        <v>3341451.3414813215</v>
      </c>
      <c r="AH43" s="47">
        <v>343.15542804581588</v>
      </c>
      <c r="AI43" s="48">
        <f t="shared" si="152"/>
        <v>0.18791367909613094</v>
      </c>
      <c r="AJ43" s="52">
        <v>0.15</v>
      </c>
      <c r="AK43" s="76"/>
      <c r="AL43" s="68"/>
      <c r="AM43" s="68"/>
      <c r="AN43" s="67"/>
      <c r="AO43" s="67"/>
      <c r="AP43" s="68"/>
      <c r="AQ43" s="68"/>
      <c r="AR43" s="70"/>
      <c r="AT43" s="80"/>
      <c r="AV43" s="10" t="s">
        <v>52</v>
      </c>
      <c r="AW43" s="58">
        <v>45671.378888888888</v>
      </c>
      <c r="AX43" s="59">
        <v>11.2</v>
      </c>
      <c r="AY43" s="47">
        <v>386.62859299882138</v>
      </c>
      <c r="AZ43" s="47">
        <v>21.140264683774529</v>
      </c>
      <c r="BA43" s="47">
        <v>20.837439135451508</v>
      </c>
      <c r="BB43" s="47">
        <v>43.191396650620582</v>
      </c>
      <c r="BC43" s="47">
        <v>4173560.9979392425</v>
      </c>
      <c r="BD43" s="47">
        <v>386.60578604933113</v>
      </c>
      <c r="BE43" s="48">
        <f t="shared" si="153"/>
        <v>-5.8989298523803614E-3</v>
      </c>
      <c r="BF43" s="52">
        <v>0.22703814702548419</v>
      </c>
      <c r="BG43" s="76"/>
      <c r="BH43" s="68"/>
      <c r="BI43" s="68"/>
      <c r="BJ43" s="67"/>
      <c r="BK43" s="67"/>
      <c r="BL43" s="68"/>
      <c r="BM43" s="68"/>
      <c r="BN43" s="70"/>
      <c r="BP43" s="80"/>
      <c r="BS43" s="68"/>
      <c r="BT43" s="68"/>
      <c r="BU43" s="68"/>
      <c r="BV43" s="68"/>
      <c r="BW43" s="68"/>
      <c r="BX43" s="68"/>
      <c r="BZ43" s="69"/>
      <c r="CA43" s="70"/>
      <c r="CB43" s="68"/>
      <c r="CC43" s="68"/>
      <c r="CD43" s="68"/>
      <c r="CF43" s="67"/>
      <c r="CG43" s="67"/>
      <c r="CH43" s="71"/>
      <c r="CI43" s="67"/>
      <c r="CJ43" s="67"/>
      <c r="CK43" s="71"/>
      <c r="CL43" s="75"/>
      <c r="CM43" s="67"/>
      <c r="CN43" s="71"/>
    </row>
    <row r="44" spans="2:92">
      <c r="B44" s="49"/>
      <c r="C44" s="10" t="s">
        <v>52</v>
      </c>
      <c r="D44" s="54">
        <v>45484.4225925926</v>
      </c>
      <c r="E44" s="9">
        <v>4</v>
      </c>
      <c r="F44" s="47">
        <v>398.05950084776299</v>
      </c>
      <c r="G44" s="47">
        <v>21.391522653705103</v>
      </c>
      <c r="H44" s="47">
        <v>20.029393823690999</v>
      </c>
      <c r="I44" s="48">
        <v>44.040938640755101</v>
      </c>
      <c r="J44" s="57">
        <v>4077808.79527582</v>
      </c>
      <c r="K44" s="47">
        <v>399.87179634718802</v>
      </c>
      <c r="L44" s="48">
        <f t="shared" si="151"/>
        <v>0.45528256342715512</v>
      </c>
      <c r="M44" s="6">
        <v>0.35</v>
      </c>
      <c r="N44" s="76"/>
      <c r="O44" s="68"/>
      <c r="P44" s="68"/>
      <c r="Q44" s="67"/>
      <c r="R44" s="67"/>
      <c r="S44" s="68"/>
      <c r="T44" s="68"/>
      <c r="U44" s="70"/>
      <c r="W44" s="80"/>
      <c r="Y44" s="10" t="s">
        <v>52</v>
      </c>
      <c r="Z44" s="58">
        <v>45723</v>
      </c>
      <c r="AA44" s="59"/>
      <c r="AB44" s="47">
        <v>342.62893804167567</v>
      </c>
      <c r="AC44" s="47">
        <v>20.809437332153319</v>
      </c>
      <c r="AD44" s="47">
        <v>22.326056480407715</v>
      </c>
      <c r="AE44" s="60">
        <v>42.164693221199997</v>
      </c>
      <c r="AF44" s="61">
        <v>1.5078186228699999E-5</v>
      </c>
      <c r="AG44" s="61">
        <f t="shared" si="154"/>
        <v>3341086.8742064158</v>
      </c>
      <c r="AH44" s="47">
        <v>343.22112962922404</v>
      </c>
      <c r="AI44" s="48">
        <f t="shared" si="152"/>
        <v>0.17283758661282117</v>
      </c>
      <c r="AJ44" s="52">
        <v>0.15</v>
      </c>
      <c r="AK44" s="76"/>
      <c r="AL44" s="68"/>
      <c r="AM44" s="68"/>
      <c r="AN44" s="67"/>
      <c r="AO44" s="67"/>
      <c r="AP44" s="68"/>
      <c r="AQ44" s="68"/>
      <c r="AR44" s="70"/>
      <c r="AT44" s="80"/>
      <c r="AV44" s="10" t="s">
        <v>52</v>
      </c>
      <c r="AW44" s="58">
        <v>45671.380335648151</v>
      </c>
      <c r="AX44" s="59">
        <v>11.3</v>
      </c>
      <c r="AY44" s="47">
        <v>386.51443863216673</v>
      </c>
      <c r="AZ44" s="47">
        <v>21.157128272484229</v>
      </c>
      <c r="BA44" s="47">
        <v>20.771733984113713</v>
      </c>
      <c r="BB44" s="47">
        <v>43.243778870647155</v>
      </c>
      <c r="BC44" s="47">
        <v>4177719.2623474365</v>
      </c>
      <c r="BD44" s="47">
        <v>386.44106739799327</v>
      </c>
      <c r="BE44" s="48">
        <f t="shared" si="153"/>
        <v>-1.8982792579008801E-2</v>
      </c>
      <c r="BF44" s="52">
        <v>0.22206276208837916</v>
      </c>
      <c r="BG44" s="76"/>
      <c r="BH44" s="68"/>
      <c r="BI44" s="68"/>
      <c r="BJ44" s="67"/>
      <c r="BK44" s="67"/>
      <c r="BL44" s="68"/>
      <c r="BM44" s="68"/>
      <c r="BN44" s="70"/>
      <c r="BP44" s="80"/>
      <c r="BS44" s="68"/>
      <c r="BT44" s="68"/>
      <c r="BU44" s="68"/>
      <c r="BV44" s="68"/>
      <c r="BW44" s="68"/>
      <c r="BX44" s="68"/>
      <c r="BZ44" s="69"/>
      <c r="CA44" s="70"/>
      <c r="CB44" s="68"/>
      <c r="CC44" s="68"/>
      <c r="CD44" s="68"/>
      <c r="CF44" s="67"/>
      <c r="CG44" s="67"/>
      <c r="CH44" s="71"/>
      <c r="CI44" s="67"/>
      <c r="CJ44" s="67"/>
      <c r="CK44" s="71"/>
      <c r="CL44" s="75"/>
      <c r="CM44" s="67"/>
      <c r="CN44" s="71"/>
    </row>
    <row r="45" spans="2:92">
      <c r="B45" s="49"/>
      <c r="C45" s="10" t="s">
        <v>52</v>
      </c>
      <c r="D45" s="54">
        <v>45484.430798611102</v>
      </c>
      <c r="E45" s="9">
        <v>5</v>
      </c>
      <c r="F45" s="47">
        <v>278.939035109798</v>
      </c>
      <c r="G45" s="47">
        <v>21.394420375965634</v>
      </c>
      <c r="H45" s="47">
        <v>20.094331830544</v>
      </c>
      <c r="I45" s="48">
        <v>44.032907733025098</v>
      </c>
      <c r="J45" s="57">
        <v>2856376.2414155798</v>
      </c>
      <c r="K45" s="47">
        <v>280.05998835545302</v>
      </c>
      <c r="L45" s="48">
        <f t="shared" si="151"/>
        <v>0.40186316885113582</v>
      </c>
      <c r="M45" s="6">
        <v>0.35</v>
      </c>
      <c r="N45" s="76">
        <f t="shared" ref="N45" si="155">AVERAGE(L45:L47)</f>
        <v>0.41398044548205309</v>
      </c>
      <c r="O45" s="68">
        <f t="shared" ref="O45" si="156">STDEV(L45:L47)</f>
        <v>1.6098435720591078E-2</v>
      </c>
      <c r="P45" s="68">
        <f t="shared" ref="P45" si="157">COUNT(M45:M47)</f>
        <v>3</v>
      </c>
      <c r="Q45" s="67">
        <f t="shared" ref="Q45" si="158">TINV(0.05,P45-1)</f>
        <v>4.3026527297494637</v>
      </c>
      <c r="R45" s="67">
        <f t="shared" ref="R45" si="159">O45*Q45/SQRT(P45)</f>
        <v>3.9990731273708911E-2</v>
      </c>
      <c r="S45" s="68">
        <f t="shared" ref="S45" si="160">AVERAGE(M45:M47)</f>
        <v>0.34999999999999992</v>
      </c>
      <c r="T45" s="68">
        <f t="shared" ref="T45" si="161">SQRT(R45^2+S45^2)</f>
        <v>0.35227724676425803</v>
      </c>
      <c r="U45" s="70">
        <f>AVERAGE(F45:F47)</f>
        <v>278.8696654430687</v>
      </c>
      <c r="W45" s="80">
        <f t="shared" ref="W45" si="162">AVERAGE(J45:J47)</f>
        <v>2855489.02647705</v>
      </c>
      <c r="Y45" s="10" t="s">
        <v>52</v>
      </c>
      <c r="Z45" s="58">
        <v>45723</v>
      </c>
      <c r="AA45" s="59"/>
      <c r="AB45" s="47">
        <v>281.67568424394267</v>
      </c>
      <c r="AC45" s="47">
        <v>20.857991632461548</v>
      </c>
      <c r="AD45" s="47">
        <v>22.417876720428467</v>
      </c>
      <c r="AE45" s="60">
        <v>42.257656622200003</v>
      </c>
      <c r="AF45" s="61">
        <v>1.50837550874E-5</v>
      </c>
      <c r="AG45" s="61">
        <f t="shared" si="154"/>
        <v>2751951.4162251959</v>
      </c>
      <c r="AH45" s="47">
        <v>282.18304461137512</v>
      </c>
      <c r="AI45" s="48">
        <f t="shared" si="152"/>
        <v>0.18012217447675025</v>
      </c>
      <c r="AJ45" s="52">
        <v>0.15</v>
      </c>
      <c r="AK45" s="76">
        <f t="shared" ref="AK45" si="163">AVERAGE(AI45:AI47)</f>
        <v>0.17860847738316907</v>
      </c>
      <c r="AL45" s="68">
        <f t="shared" ref="AL45" si="164">STDEV(AI45:AI47)</f>
        <v>3.2174663163056063E-3</v>
      </c>
      <c r="AM45" s="68">
        <f t="shared" ref="AM45" si="165">COUNT(AJ45:AJ47)</f>
        <v>3</v>
      </c>
      <c r="AN45" s="67">
        <f t="shared" ref="AN45" si="166">TINV(0.05,AM45-1)</f>
        <v>4.3026527297494637</v>
      </c>
      <c r="AO45" s="67">
        <f t="shared" ref="AO45" si="167">AL45*AN45/SQRT(AM45)</f>
        <v>7.9926294126211744E-3</v>
      </c>
      <c r="AP45" s="68">
        <f t="shared" ref="AP45" si="168">AVERAGE(AJ45:AJ47)</f>
        <v>0.15</v>
      </c>
      <c r="AQ45" s="68">
        <f t="shared" ref="AQ45" si="169">SQRT(AO45^2+AP45^2)</f>
        <v>0.15021278948520828</v>
      </c>
      <c r="AR45" s="70">
        <f>AVERAGE(AB45:AB47)</f>
        <v>281.64488276393769</v>
      </c>
      <c r="AT45" s="80">
        <f t="shared" ref="AT45" si="170">AVERAGE(AG45:AG47)</f>
        <v>2751095.9861161872</v>
      </c>
      <c r="AV45" s="10" t="s">
        <v>52</v>
      </c>
      <c r="AW45" s="58">
        <v>45671.39199074074</v>
      </c>
      <c r="AX45" s="59">
        <v>13.1</v>
      </c>
      <c r="AY45" s="47">
        <v>277.29856899419485</v>
      </c>
      <c r="AZ45" s="47">
        <v>22.315881028500961</v>
      </c>
      <c r="BA45" s="47">
        <v>20.802978188805348</v>
      </c>
      <c r="BB45" s="47">
        <v>45.983983394199292</v>
      </c>
      <c r="BC45" s="47">
        <v>3172885.8435658948</v>
      </c>
      <c r="BD45" s="47">
        <v>277.44386064912283</v>
      </c>
      <c r="BE45" s="48">
        <f t="shared" si="153"/>
        <v>5.239538575873974E-2</v>
      </c>
      <c r="BF45" s="52">
        <v>0.22011460745572206</v>
      </c>
      <c r="BG45" s="76">
        <f t="shared" ref="BG45" si="171">AVERAGE(BE45:BE47)</f>
        <v>6.2425648177725897E-2</v>
      </c>
      <c r="BH45" s="68">
        <f t="shared" ref="BH45" si="172">STDEV(BE45:BE47)</f>
        <v>8.9280438448530799E-3</v>
      </c>
      <c r="BI45" s="68">
        <f t="shared" ref="BI45" si="173">COUNT(BF45:BF47)</f>
        <v>3</v>
      </c>
      <c r="BJ45" s="67">
        <f t="shared" ref="BJ45" si="174">TINV(0.05,BI45-1)</f>
        <v>4.3026527297494637</v>
      </c>
      <c r="BK45" s="67">
        <f t="shared" ref="BK45" si="175">BH45*BJ45/SQRT(BI45)</f>
        <v>2.2178490407159957E-2</v>
      </c>
      <c r="BL45" s="68">
        <f t="shared" ref="BL45" si="176">AVERAGE(BF45:BF47)</f>
        <v>0.22083947048362099</v>
      </c>
      <c r="BM45" s="68">
        <f t="shared" ref="BM45" si="177">SQRT(BK45^2+BL45^2)</f>
        <v>0.22195034841204145</v>
      </c>
      <c r="BN45" s="70">
        <f>AVERAGE(AY45:AY47)</f>
        <v>277.25761158025261</v>
      </c>
      <c r="BP45" s="80">
        <f t="shared" ref="BP45" si="178">AVERAGE(BC45:BC47)</f>
        <v>3174560.6915504504</v>
      </c>
      <c r="BS45" s="68">
        <f>N45*BT45</f>
        <v>3.335881698190347</v>
      </c>
      <c r="BT45" s="68">
        <f>1/T45^2</f>
        <v>8.0580658690434799</v>
      </c>
      <c r="BU45" s="68">
        <f t="shared" ref="BU45" si="179">AK45*BV45</f>
        <v>7.9156803068852648</v>
      </c>
      <c r="BV45" s="68">
        <f t="shared" ref="BV45" si="180">1/AQ45^2</f>
        <v>44.318614787268707</v>
      </c>
      <c r="BW45" s="68">
        <f>BG45*BX45</f>
        <v>1.2672181897825099</v>
      </c>
      <c r="BX45" s="68">
        <f>1/BM45^2</f>
        <v>20.299640080223728</v>
      </c>
      <c r="BZ45" s="69">
        <f t="shared" ref="BZ45" si="181">AVERAGE(W45,AT45,BP45)</f>
        <v>2927048.568047896</v>
      </c>
      <c r="CA45" s="70">
        <f>AVERAGE(U45,AR45,BN45)</f>
        <v>279.25738659575296</v>
      </c>
      <c r="CB45" s="68">
        <f t="shared" ref="CB45" si="182">SUM(BS45,BU45,BW45)/SUM(BT45,BV45,BX45)</f>
        <v>0.17225390702208002</v>
      </c>
      <c r="CC45" s="68">
        <f t="shared" ref="CC45" si="183">SUM(BT45,BV45,BX45)</f>
        <v>72.676320736535914</v>
      </c>
      <c r="CD45" s="68">
        <f t="shared" ref="CD45" si="184">SQRT(CC45^-1)</f>
        <v>0.11730149131336741</v>
      </c>
      <c r="CF45" s="67">
        <f>N45-CB45</f>
        <v>0.24172653845997308</v>
      </c>
      <c r="CG45" s="67">
        <f>SQRT(T45^2-CD45^2)</f>
        <v>0.33217407894576295</v>
      </c>
      <c r="CH45" s="71">
        <f t="shared" ref="CH45" si="185">ABS(CF45/CG45)</f>
        <v>0.72771041987126861</v>
      </c>
      <c r="CI45" s="67">
        <f t="shared" ref="CI45" si="186">AK45-CB45</f>
        <v>6.3545703610890514E-3</v>
      </c>
      <c r="CJ45" s="67">
        <f t="shared" ref="CJ45" si="187">SQRT(AQ45^2-CD45^2)</f>
        <v>9.3830923796941745E-2</v>
      </c>
      <c r="CK45" s="71">
        <f t="shared" ref="CK45" si="188">ABS(CI45/CJ45)</f>
        <v>6.7723625686995179E-2</v>
      </c>
      <c r="CL45" s="75">
        <f>BG45-CB45</f>
        <v>-0.10982825884435413</v>
      </c>
      <c r="CM45" s="67">
        <f>SQRT(BM45^2-CD45^2)</f>
        <v>0.18842058617859828</v>
      </c>
      <c r="CN45" s="71">
        <f t="shared" ref="CN45" si="189">ABS(CL45/CM45)</f>
        <v>0.58288885026740755</v>
      </c>
    </row>
    <row r="46" spans="2:92">
      <c r="B46" s="49"/>
      <c r="C46" s="10" t="s">
        <v>52</v>
      </c>
      <c r="D46" s="54">
        <v>45484.437615740702</v>
      </c>
      <c r="E46" s="9">
        <v>6</v>
      </c>
      <c r="F46" s="47">
        <v>278.85984281230901</v>
      </c>
      <c r="G46" s="47">
        <v>21.381621911355801</v>
      </c>
      <c r="H46" s="47">
        <v>20.013025828652001</v>
      </c>
      <c r="I46" s="48">
        <v>44.021192364799496</v>
      </c>
      <c r="J46" s="57">
        <v>2855616.3238694798</v>
      </c>
      <c r="K46" s="47">
        <v>279.99711958044799</v>
      </c>
      <c r="L46" s="48">
        <f t="shared" si="151"/>
        <v>0.40783095789967744</v>
      </c>
      <c r="M46" s="6">
        <v>0.35</v>
      </c>
      <c r="N46" s="76"/>
      <c r="O46" s="68"/>
      <c r="P46" s="68"/>
      <c r="Q46" s="67"/>
      <c r="R46" s="67"/>
      <c r="S46" s="68"/>
      <c r="T46" s="68"/>
      <c r="U46" s="70"/>
      <c r="W46" s="80"/>
      <c r="Y46" s="10" t="s">
        <v>52</v>
      </c>
      <c r="Z46" s="58">
        <v>45723</v>
      </c>
      <c r="AA46" s="59"/>
      <c r="AB46" s="47">
        <v>281.60369251930285</v>
      </c>
      <c r="AC46" s="47">
        <v>20.836619026184081</v>
      </c>
      <c r="AD46" s="47">
        <v>22.333361148834229</v>
      </c>
      <c r="AE46" s="60">
        <v>42.2261651926</v>
      </c>
      <c r="AF46" s="61">
        <v>1.50791451168E-5</v>
      </c>
      <c r="AG46" s="61">
        <f t="shared" si="154"/>
        <v>2750056.5761322286</v>
      </c>
      <c r="AH46" s="47">
        <v>282.11280364584059</v>
      </c>
      <c r="AI46" s="48">
        <f t="shared" si="152"/>
        <v>0.18078993282477449</v>
      </c>
      <c r="AJ46" s="52">
        <v>0.15</v>
      </c>
      <c r="AK46" s="76"/>
      <c r="AL46" s="68"/>
      <c r="AM46" s="68"/>
      <c r="AN46" s="67"/>
      <c r="AO46" s="67"/>
      <c r="AP46" s="68"/>
      <c r="AQ46" s="68"/>
      <c r="AR46" s="70"/>
      <c r="AT46" s="80"/>
      <c r="AV46" s="10" t="s">
        <v>52</v>
      </c>
      <c r="AW46" s="58">
        <v>45671.393437500003</v>
      </c>
      <c r="AX46" s="59">
        <v>13.2</v>
      </c>
      <c r="AY46" s="47">
        <v>277.24098402047787</v>
      </c>
      <c r="AZ46" s="47">
        <v>22.310751324394129</v>
      </c>
      <c r="BA46" s="47">
        <v>20.671812449456976</v>
      </c>
      <c r="BB46" s="47">
        <v>46.004562452821823</v>
      </c>
      <c r="BC46" s="47">
        <v>3174715.6276159384</v>
      </c>
      <c r="BD46" s="47">
        <v>277.43367656223893</v>
      </c>
      <c r="BE46" s="48">
        <f t="shared" si="153"/>
        <v>6.9503627842710664E-2</v>
      </c>
      <c r="BF46" s="52">
        <v>0.22140492451046925</v>
      </c>
      <c r="BG46" s="76"/>
      <c r="BH46" s="68"/>
      <c r="BI46" s="68"/>
      <c r="BJ46" s="67"/>
      <c r="BK46" s="67"/>
      <c r="BL46" s="68"/>
      <c r="BM46" s="68"/>
      <c r="BN46" s="70"/>
      <c r="BP46" s="80"/>
      <c r="BS46" s="68"/>
      <c r="BT46" s="68"/>
      <c r="BU46" s="68"/>
      <c r="BV46" s="68"/>
      <c r="BW46" s="68"/>
      <c r="BX46" s="68"/>
      <c r="BZ46" s="69"/>
      <c r="CA46" s="70"/>
      <c r="CB46" s="68"/>
      <c r="CC46" s="68"/>
      <c r="CD46" s="68"/>
      <c r="CF46" s="67"/>
      <c r="CG46" s="67"/>
      <c r="CH46" s="71"/>
      <c r="CI46" s="67"/>
      <c r="CJ46" s="67"/>
      <c r="CK46" s="71"/>
      <c r="CL46" s="75"/>
      <c r="CM46" s="67"/>
      <c r="CN46" s="71"/>
    </row>
    <row r="47" spans="2:92">
      <c r="B47" s="49"/>
      <c r="C47" s="10" t="s">
        <v>52</v>
      </c>
      <c r="D47" s="54">
        <v>45484.4511921296</v>
      </c>
      <c r="E47" s="9">
        <v>8</v>
      </c>
      <c r="F47" s="47">
        <v>278.81011840709903</v>
      </c>
      <c r="G47" s="47">
        <v>21.372740729994185</v>
      </c>
      <c r="H47" s="47">
        <v>19.984087245489</v>
      </c>
      <c r="I47" s="48">
        <v>44.006693351188702</v>
      </c>
      <c r="J47" s="57">
        <v>2854474.51414609</v>
      </c>
      <c r="K47" s="47">
        <v>280.015267364262</v>
      </c>
      <c r="L47" s="48">
        <f t="shared" si="151"/>
        <v>0.43224720969534602</v>
      </c>
      <c r="M47" s="6">
        <v>0.35</v>
      </c>
      <c r="N47" s="76"/>
      <c r="O47" s="68"/>
      <c r="P47" s="68"/>
      <c r="Q47" s="67"/>
      <c r="R47" s="67"/>
      <c r="S47" s="68"/>
      <c r="T47" s="68"/>
      <c r="U47" s="70"/>
      <c r="W47" s="80"/>
      <c r="Y47" s="10" t="s">
        <v>52</v>
      </c>
      <c r="Z47" s="58">
        <v>45723</v>
      </c>
      <c r="AA47" s="59"/>
      <c r="AB47" s="47">
        <v>281.65527152856765</v>
      </c>
      <c r="AC47" s="47">
        <v>20.845786771774293</v>
      </c>
      <c r="AD47" s="47">
        <v>22.353786945343018</v>
      </c>
      <c r="AE47" s="60">
        <v>42.243060663500003</v>
      </c>
      <c r="AF47" s="61">
        <v>1.5080347887999999E-5</v>
      </c>
      <c r="AG47" s="61">
        <f t="shared" si="154"/>
        <v>2751279.9659911362</v>
      </c>
      <c r="AH47" s="47">
        <v>282.14792412860788</v>
      </c>
      <c r="AI47" s="48">
        <f t="shared" si="152"/>
        <v>0.17491332484798242</v>
      </c>
      <c r="AJ47" s="52">
        <v>0.15</v>
      </c>
      <c r="AK47" s="76"/>
      <c r="AL47" s="68"/>
      <c r="AM47" s="68"/>
      <c r="AN47" s="67"/>
      <c r="AO47" s="67"/>
      <c r="AP47" s="68"/>
      <c r="AQ47" s="68"/>
      <c r="AR47" s="70"/>
      <c r="AT47" s="80"/>
      <c r="AU47" s="18"/>
      <c r="AV47" s="10" t="s">
        <v>52</v>
      </c>
      <c r="AW47" s="58">
        <v>45671.39503472222</v>
      </c>
      <c r="AX47" s="59">
        <v>13.3</v>
      </c>
      <c r="AY47" s="47">
        <v>277.23328172608512</v>
      </c>
      <c r="AZ47" s="47">
        <v>22.300775763831066</v>
      </c>
      <c r="BA47" s="47">
        <v>20.545537336956521</v>
      </c>
      <c r="BB47" s="47">
        <v>46.010525820542149</v>
      </c>
      <c r="BC47" s="47">
        <v>3176080.603469518</v>
      </c>
      <c r="BD47" s="47">
        <v>277.41453110953177</v>
      </c>
      <c r="BE47" s="48">
        <f t="shared" si="153"/>
        <v>6.5377930931727293E-2</v>
      </c>
      <c r="BF47" s="52">
        <v>0.22099887948467165</v>
      </c>
      <c r="BG47" s="76"/>
      <c r="BH47" s="68"/>
      <c r="BI47" s="68"/>
      <c r="BJ47" s="67"/>
      <c r="BK47" s="67"/>
      <c r="BL47" s="68"/>
      <c r="BM47" s="68"/>
      <c r="BN47" s="70"/>
      <c r="BP47" s="80"/>
      <c r="BS47" s="68"/>
      <c r="BT47" s="68"/>
      <c r="BU47" s="68"/>
      <c r="BV47" s="68"/>
      <c r="BW47" s="68"/>
      <c r="BX47" s="68"/>
      <c r="BZ47" s="69"/>
      <c r="CA47" s="70"/>
      <c r="CB47" s="68"/>
      <c r="CC47" s="68"/>
      <c r="CD47" s="68"/>
      <c r="CF47" s="67"/>
      <c r="CG47" s="67"/>
      <c r="CH47" s="71"/>
      <c r="CI47" s="67"/>
      <c r="CJ47" s="67"/>
      <c r="CK47" s="71"/>
      <c r="CL47" s="75"/>
      <c r="CM47" s="67"/>
      <c r="CN47" s="71"/>
    </row>
    <row r="48" spans="2:92">
      <c r="B48" s="49"/>
      <c r="C48" s="10" t="s">
        <v>52</v>
      </c>
      <c r="D48" s="54">
        <v>45484.459560185198</v>
      </c>
      <c r="E48" s="9">
        <v>9</v>
      </c>
      <c r="F48" s="47">
        <v>160.02786712774099</v>
      </c>
      <c r="G48" s="47">
        <v>21.376525751286234</v>
      </c>
      <c r="H48" s="47">
        <v>20.067584036191001</v>
      </c>
      <c r="I48" s="48">
        <v>43.996567551843803</v>
      </c>
      <c r="J48" s="57">
        <v>1637543.87658685</v>
      </c>
      <c r="K48" s="47">
        <v>160.467201194815</v>
      </c>
      <c r="L48" s="48">
        <f t="shared" si="151"/>
        <v>0.27453597611428482</v>
      </c>
      <c r="M48" s="6">
        <v>0.35</v>
      </c>
      <c r="N48" s="76">
        <f t="shared" ref="N48" si="190">AVERAGE(L48:L50)</f>
        <v>0.28713577269880214</v>
      </c>
      <c r="O48" s="68">
        <f t="shared" ref="O48" si="191">STDEV(L48:L50)</f>
        <v>1.7935276798667642E-2</v>
      </c>
      <c r="P48" s="68">
        <f t="shared" ref="P48" si="192">COUNT(M48:M50)</f>
        <v>3</v>
      </c>
      <c r="Q48" s="67">
        <f t="shared" ref="Q48" si="193">TINV(0.05,P48-1)</f>
        <v>4.3026527297494637</v>
      </c>
      <c r="R48" s="67">
        <f t="shared" ref="R48" si="194">O48*Q48/SQRT(P48)</f>
        <v>4.4553697466251041E-2</v>
      </c>
      <c r="S48" s="68">
        <f t="shared" ref="S48" si="195">AVERAGE(M48:M50)</f>
        <v>0.34999999999999992</v>
      </c>
      <c r="T48" s="68">
        <f t="shared" ref="T48" si="196">SQRT(R48^2+S48^2)</f>
        <v>0.3528243641784311</v>
      </c>
      <c r="U48" s="70">
        <f>AVERAGE(F48:F50)</f>
        <v>159.992090702833</v>
      </c>
      <c r="W48" s="80">
        <f t="shared" ref="W48" si="197">AVERAGE(J48:J50)</f>
        <v>1637088.3352514068</v>
      </c>
      <c r="Y48" s="10" t="s">
        <v>52</v>
      </c>
      <c r="Z48" s="58">
        <v>45723</v>
      </c>
      <c r="AA48" s="59"/>
      <c r="AB48" s="47">
        <v>160.33871190151925</v>
      </c>
      <c r="AC48" s="47">
        <v>20.859958842039109</v>
      </c>
      <c r="AD48" s="47">
        <v>21.956332683563232</v>
      </c>
      <c r="AE48" s="60">
        <v>42.361265452600001</v>
      </c>
      <c r="AF48" s="61">
        <v>1.5061203887200001E-5</v>
      </c>
      <c r="AG48" s="61">
        <f t="shared" si="154"/>
        <v>1573992.9408733104</v>
      </c>
      <c r="AH48" s="47">
        <v>160.76060533058848</v>
      </c>
      <c r="AI48" s="48">
        <f t="shared" si="152"/>
        <v>0.26312636796555888</v>
      </c>
      <c r="AJ48" s="52">
        <v>0.15</v>
      </c>
      <c r="AK48" s="76">
        <f t="shared" ref="AK48" si="198">AVERAGE(AI48:AI50)</f>
        <v>0.25672934375865303</v>
      </c>
      <c r="AL48" s="68">
        <f t="shared" ref="AL48" si="199">STDEV(AI48:AI50)</f>
        <v>9.8705690099500712E-3</v>
      </c>
      <c r="AM48" s="68">
        <f t="shared" ref="AM48" si="200">COUNT(AJ48:AJ50)</f>
        <v>3</v>
      </c>
      <c r="AN48" s="67">
        <f t="shared" ref="AN48" si="201">TINV(0.05,AM48-1)</f>
        <v>4.3026527297494637</v>
      </c>
      <c r="AO48" s="67">
        <f t="shared" ref="AO48" si="202">AL48*AN48/SQRT(AM48)</f>
        <v>2.4519852714051101E-2</v>
      </c>
      <c r="AP48" s="68">
        <f t="shared" ref="AP48" si="203">AVERAGE(AJ48:AJ50)</f>
        <v>0.15</v>
      </c>
      <c r="AQ48" s="68">
        <f t="shared" ref="AQ48" si="204">SQRT(AO48^2+AP48^2)</f>
        <v>0.15199086543973211</v>
      </c>
      <c r="AR48" s="70">
        <f>AVERAGE(AB48:AB50)</f>
        <v>160.33911299719611</v>
      </c>
      <c r="AT48" s="80">
        <f t="shared" ref="AT48" si="205">AVERAGE(AG48:AG50)</f>
        <v>1573955.8968032803</v>
      </c>
      <c r="AU48" s="18"/>
      <c r="AV48" s="10" t="s">
        <v>52</v>
      </c>
      <c r="AW48" s="58">
        <v>45671.400810185187</v>
      </c>
      <c r="AX48" s="59">
        <v>14.1</v>
      </c>
      <c r="AY48" s="47">
        <v>161.7930938964455</v>
      </c>
      <c r="AZ48" s="47">
        <v>23.060103062662304</v>
      </c>
      <c r="BA48" s="47">
        <v>21.197644076923076</v>
      </c>
      <c r="BB48" s="47">
        <v>47.674236796355615</v>
      </c>
      <c r="BC48" s="47">
        <v>1911644.4728687301</v>
      </c>
      <c r="BD48" s="47">
        <v>161.99695299414714</v>
      </c>
      <c r="BE48" s="48">
        <f t="shared" si="153"/>
        <v>0.12599987600961315</v>
      </c>
      <c r="BF48" s="52">
        <v>0.22223803327174743</v>
      </c>
      <c r="BG48" s="76">
        <f t="shared" ref="BG48" si="206">AVERAGE(BE48:BE50)</f>
        <v>0.1309125745884186</v>
      </c>
      <c r="BH48" s="68">
        <f t="shared" ref="BH48" si="207">STDEV(BE48:BE50)</f>
        <v>6.224424812712355E-3</v>
      </c>
      <c r="BI48" s="68">
        <f t="shared" ref="BI48" si="208">COUNT(BF48:BF50)</f>
        <v>3</v>
      </c>
      <c r="BJ48" s="67">
        <f t="shared" ref="BJ48" si="209">TINV(0.05,BI48-1)</f>
        <v>4.3026527297494637</v>
      </c>
      <c r="BK48" s="67">
        <f t="shared" ref="BK48" si="210">BH48*BJ48/SQRT(BI48)</f>
        <v>1.5462328411213252E-2</v>
      </c>
      <c r="BL48" s="68">
        <f t="shared" ref="BL48" si="211">AVERAGE(BF48:BF50)</f>
        <v>0.22058098725138539</v>
      </c>
      <c r="BM48" s="68">
        <f t="shared" ref="BM48" si="212">SQRT(BK48^2+BL48^2)</f>
        <v>0.22112226377434735</v>
      </c>
      <c r="BN48" s="70">
        <f>AVERAGE(AY48:AY50)</f>
        <v>161.75690720258498</v>
      </c>
      <c r="BP48" s="80">
        <f t="shared" ref="BP48" si="213">AVERAGE(BC48:BC50)</f>
        <v>1911519.258759809</v>
      </c>
      <c r="BS48" s="68">
        <f>N48*BT48</f>
        <v>2.3065887374787097</v>
      </c>
      <c r="BT48" s="68">
        <f>1/T48^2</f>
        <v>8.0330942947267694</v>
      </c>
      <c r="BU48" s="68">
        <f t="shared" ref="BU48" si="214">AK48*BV48</f>
        <v>11.113235943841177</v>
      </c>
      <c r="BV48" s="68">
        <f t="shared" ref="BV48" si="215">1/AQ48^2</f>
        <v>43.28775114343199</v>
      </c>
      <c r="BW48" s="68">
        <f>BG48*BX48</f>
        <v>2.6774194885652309</v>
      </c>
      <c r="BX48" s="68">
        <f>1/BM48^2</f>
        <v>20.451965725850858</v>
      </c>
      <c r="BZ48" s="69">
        <f t="shared" ref="BZ48" si="216">AVERAGE(W48,AT48,BP48)</f>
        <v>1707521.163604832</v>
      </c>
      <c r="CA48" s="70">
        <f>AVERAGE(U48,AR48,BN48)</f>
        <v>160.69603696753802</v>
      </c>
      <c r="CB48" s="68">
        <f t="shared" ref="CB48" si="217">SUM(BS48,BU48,BW48)/SUM(BT48,BV48,BX48)</f>
        <v>0.22428053059118663</v>
      </c>
      <c r="CC48" s="68">
        <f t="shared" ref="CC48" si="218">SUM(BT48,BV48,BX48)</f>
        <v>71.77281116400961</v>
      </c>
      <c r="CD48" s="68">
        <f t="shared" ref="CD48" si="219">SQRT(CC48^-1)</f>
        <v>0.11803750513717015</v>
      </c>
      <c r="CF48" s="67">
        <f>N48-CB48</f>
        <v>6.2855242107615505E-2</v>
      </c>
      <c r="CG48" s="67">
        <f>SQRT(T48^2-CD48^2)</f>
        <v>0.33249387864877561</v>
      </c>
      <c r="CH48" s="71">
        <f t="shared" ref="CH48" si="220">ABS(CF48/CG48)</f>
        <v>0.18904180240265897</v>
      </c>
      <c r="CI48" s="67">
        <f t="shared" ref="CI48" si="221">AK48-CB48</f>
        <v>3.2448813167466395E-2</v>
      </c>
      <c r="CJ48" s="67">
        <f t="shared" ref="CJ48" si="222">SQRT(AQ48^2-CD48^2)</f>
        <v>9.5751608645031572E-2</v>
      </c>
      <c r="CK48" s="71">
        <f t="shared" ref="CK48" si="223">ABS(CI48/CJ48)</f>
        <v>0.33888530570551539</v>
      </c>
      <c r="CL48" s="75">
        <f>BG48-CB48</f>
        <v>-9.3367956002768038E-2</v>
      </c>
      <c r="CM48" s="67">
        <f>SQRT(BM48^2-CD48^2)</f>
        <v>0.18698182509988659</v>
      </c>
      <c r="CN48" s="71">
        <f t="shared" ref="CN48" si="224">ABS(CL48/CM48)</f>
        <v>0.49934241444531002</v>
      </c>
    </row>
    <row r="49" spans="2:92">
      <c r="B49" s="49"/>
      <c r="C49" s="10" t="s">
        <v>52</v>
      </c>
      <c r="D49" s="54">
        <v>45484.466898148101</v>
      </c>
      <c r="E49" s="9">
        <v>10</v>
      </c>
      <c r="F49" s="47">
        <v>160.00322459993399</v>
      </c>
      <c r="G49" s="47">
        <v>21.362472120347753</v>
      </c>
      <c r="H49" s="47">
        <v>19.969247294321001</v>
      </c>
      <c r="I49" s="48">
        <v>43.985748574896</v>
      </c>
      <c r="J49" s="57">
        <v>1637447.89842993</v>
      </c>
      <c r="K49" s="47">
        <v>160.44995620683</v>
      </c>
      <c r="L49" s="48">
        <f t="shared" si="151"/>
        <v>0.2792016273503235</v>
      </c>
      <c r="M49" s="6">
        <v>0.35</v>
      </c>
      <c r="N49" s="76"/>
      <c r="O49" s="68"/>
      <c r="P49" s="68"/>
      <c r="Q49" s="67"/>
      <c r="R49" s="67"/>
      <c r="S49" s="68"/>
      <c r="T49" s="68"/>
      <c r="U49" s="70"/>
      <c r="W49" s="80"/>
      <c r="Y49" s="10" t="s">
        <v>52</v>
      </c>
      <c r="Z49" s="58">
        <v>45723</v>
      </c>
      <c r="AA49" s="59"/>
      <c r="AB49" s="47">
        <v>160.33116330308505</v>
      </c>
      <c r="AC49" s="47">
        <v>20.850982007980345</v>
      </c>
      <c r="AD49" s="47">
        <v>21.897204399108887</v>
      </c>
      <c r="AE49" s="60">
        <v>42.3531090217</v>
      </c>
      <c r="AF49" s="61">
        <v>1.5058109399399999E-5</v>
      </c>
      <c r="AG49" s="61">
        <f t="shared" si="154"/>
        <v>1573916.7822074038</v>
      </c>
      <c r="AH49" s="47">
        <v>160.75075009307724</v>
      </c>
      <c r="AI49" s="48">
        <f t="shared" si="152"/>
        <v>0.26170008459242644</v>
      </c>
      <c r="AJ49" s="52">
        <v>0.15</v>
      </c>
      <c r="AK49" s="76"/>
      <c r="AL49" s="68"/>
      <c r="AM49" s="68"/>
      <c r="AN49" s="67"/>
      <c r="AO49" s="67"/>
      <c r="AP49" s="68"/>
      <c r="AQ49" s="68"/>
      <c r="AR49" s="70"/>
      <c r="AT49" s="80"/>
      <c r="AU49" s="18"/>
      <c r="AV49" s="10" t="s">
        <v>52</v>
      </c>
      <c r="AW49" s="58">
        <v>45671.402268518519</v>
      </c>
      <c r="AX49" s="59">
        <v>14.2</v>
      </c>
      <c r="AY49" s="47">
        <v>161.74115777288642</v>
      </c>
      <c r="AZ49" s="47">
        <v>23.064533257927124</v>
      </c>
      <c r="BA49" s="47">
        <v>21.187276091137125</v>
      </c>
      <c r="BB49" s="47">
        <v>47.687367925239911</v>
      </c>
      <c r="BC49" s="47">
        <v>1911565.6073974883</v>
      </c>
      <c r="BD49" s="47">
        <v>161.96421876672241</v>
      </c>
      <c r="BE49" s="48">
        <f t="shared" si="153"/>
        <v>0.13791232665046446</v>
      </c>
      <c r="BF49" s="52">
        <v>0.21958806808220968</v>
      </c>
      <c r="BG49" s="76"/>
      <c r="BH49" s="68"/>
      <c r="BI49" s="68"/>
      <c r="BJ49" s="67"/>
      <c r="BK49" s="67"/>
      <c r="BL49" s="68"/>
      <c r="BM49" s="68"/>
      <c r="BN49" s="70"/>
      <c r="BP49" s="80"/>
      <c r="BS49" s="68"/>
      <c r="BT49" s="68"/>
      <c r="BU49" s="68"/>
      <c r="BV49" s="68"/>
      <c r="BW49" s="68"/>
      <c r="BX49" s="68"/>
      <c r="BZ49" s="69"/>
      <c r="CA49" s="70"/>
      <c r="CB49" s="68"/>
      <c r="CC49" s="68"/>
      <c r="CD49" s="68"/>
      <c r="CF49" s="67"/>
      <c r="CG49" s="67"/>
      <c r="CH49" s="71"/>
      <c r="CI49" s="67"/>
      <c r="CJ49" s="67"/>
      <c r="CK49" s="71"/>
      <c r="CL49" s="75"/>
      <c r="CM49" s="67"/>
      <c r="CN49" s="71"/>
    </row>
    <row r="50" spans="2:92">
      <c r="B50" s="49"/>
      <c r="C50" s="10" t="s">
        <v>52</v>
      </c>
      <c r="D50" s="54">
        <v>45484.474143518499</v>
      </c>
      <c r="E50" s="9">
        <v>11</v>
      </c>
      <c r="F50" s="47">
        <v>159.94518038082401</v>
      </c>
      <c r="G50" s="47">
        <v>21.358261076846233</v>
      </c>
      <c r="H50" s="47">
        <v>19.984785034858</v>
      </c>
      <c r="I50" s="48">
        <v>43.972076868762002</v>
      </c>
      <c r="J50" s="57">
        <v>1636273.2307374401</v>
      </c>
      <c r="K50" s="47">
        <v>160.43728326086901</v>
      </c>
      <c r="L50" s="48">
        <f t="shared" si="151"/>
        <v>0.30766971463179815</v>
      </c>
      <c r="M50" s="6">
        <v>0.35</v>
      </c>
      <c r="N50" s="76"/>
      <c r="O50" s="68"/>
      <c r="P50" s="68"/>
      <c r="Q50" s="67"/>
      <c r="R50" s="67"/>
      <c r="S50" s="68"/>
      <c r="T50" s="68"/>
      <c r="U50" s="70"/>
      <c r="W50" s="80"/>
      <c r="Y50" s="10" t="s">
        <v>52</v>
      </c>
      <c r="Z50" s="58">
        <v>45723</v>
      </c>
      <c r="AA50" s="59"/>
      <c r="AB50" s="47">
        <v>160.34746378698406</v>
      </c>
      <c r="AC50" s="47">
        <v>20.845574726581575</v>
      </c>
      <c r="AD50" s="47">
        <v>21.852024555206299</v>
      </c>
      <c r="AE50" s="60">
        <v>42.350253268199999</v>
      </c>
      <c r="AF50" s="61">
        <v>1.505577699E-5</v>
      </c>
      <c r="AG50" s="61">
        <f t="shared" si="154"/>
        <v>1573957.967329127</v>
      </c>
      <c r="AH50" s="47">
        <v>160.74089485556604</v>
      </c>
      <c r="AI50" s="48">
        <f t="shared" si="152"/>
        <v>0.24536157871797368</v>
      </c>
      <c r="AJ50" s="52">
        <v>0.15</v>
      </c>
      <c r="AK50" s="76"/>
      <c r="AL50" s="68"/>
      <c r="AM50" s="68"/>
      <c r="AN50" s="67"/>
      <c r="AO50" s="67"/>
      <c r="AP50" s="68"/>
      <c r="AQ50" s="68"/>
      <c r="AR50" s="70"/>
      <c r="AT50" s="80"/>
      <c r="AU50" s="18"/>
      <c r="AV50" s="10" t="s">
        <v>52</v>
      </c>
      <c r="AW50" s="58">
        <v>45671.403726851851</v>
      </c>
      <c r="AX50" s="59">
        <v>14.3</v>
      </c>
      <c r="AY50" s="47">
        <v>161.73646993842297</v>
      </c>
      <c r="AZ50" s="47">
        <v>23.06075179553401</v>
      </c>
      <c r="BA50" s="47">
        <v>21.175701606516292</v>
      </c>
      <c r="BB50" s="47">
        <v>47.68127750373592</v>
      </c>
      <c r="BC50" s="47">
        <v>1911347.696013208</v>
      </c>
      <c r="BD50" s="47">
        <v>161.94482778863826</v>
      </c>
      <c r="BE50" s="48">
        <f t="shared" si="153"/>
        <v>0.12882552110517814</v>
      </c>
      <c r="BF50" s="52">
        <v>0.21991686040019903</v>
      </c>
      <c r="BG50" s="76"/>
      <c r="BH50" s="68"/>
      <c r="BI50" s="68"/>
      <c r="BJ50" s="67"/>
      <c r="BK50" s="67"/>
      <c r="BL50" s="68"/>
      <c r="BM50" s="68"/>
      <c r="BN50" s="70"/>
      <c r="BP50" s="80"/>
      <c r="BS50" s="68"/>
      <c r="BT50" s="68"/>
      <c r="BU50" s="68"/>
      <c r="BV50" s="68"/>
      <c r="BW50" s="68"/>
      <c r="BX50" s="68"/>
      <c r="BZ50" s="69"/>
      <c r="CA50" s="70"/>
      <c r="CB50" s="68"/>
      <c r="CC50" s="68"/>
      <c r="CD50" s="68"/>
      <c r="CF50" s="67"/>
      <c r="CG50" s="67"/>
      <c r="CH50" s="71"/>
      <c r="CI50" s="67"/>
      <c r="CJ50" s="67"/>
      <c r="CK50" s="71"/>
      <c r="CL50" s="75"/>
      <c r="CM50" s="67"/>
      <c r="CN50" s="71"/>
    </row>
    <row r="51" spans="2:92">
      <c r="B51" s="49"/>
      <c r="C51" s="10" t="s">
        <v>52</v>
      </c>
      <c r="D51" s="54">
        <v>45484.494398148097</v>
      </c>
      <c r="E51" s="9">
        <v>12</v>
      </c>
      <c r="F51" s="47">
        <v>80.006782327904503</v>
      </c>
      <c r="G51" s="47">
        <v>21.353127325100253</v>
      </c>
      <c r="H51" s="47">
        <v>19.994019523860999</v>
      </c>
      <c r="I51" s="48">
        <v>43.957742295881602</v>
      </c>
      <c r="J51" s="57">
        <v>818201.571237533</v>
      </c>
      <c r="K51" s="47">
        <v>80.006484844751199</v>
      </c>
      <c r="L51" s="48">
        <f t="shared" si="151"/>
        <v>-3.7182241886016477E-4</v>
      </c>
      <c r="M51" s="6">
        <v>0.35</v>
      </c>
      <c r="N51" s="76">
        <f t="shared" ref="N51" si="225">AVERAGE(L51:L53)</f>
        <v>-2.9358656092819069E-2</v>
      </c>
      <c r="O51" s="68">
        <f t="shared" ref="O51" si="226">STDEV(L51:L53)</f>
        <v>2.7613560679920691E-2</v>
      </c>
      <c r="P51" s="68">
        <f t="shared" ref="P51" si="227">COUNT(M51:M53)</f>
        <v>3</v>
      </c>
      <c r="Q51" s="67">
        <f t="shared" ref="Q51" si="228">TINV(0.05,P51-1)</f>
        <v>4.3026527297494637</v>
      </c>
      <c r="R51" s="67">
        <f t="shared" ref="R51" si="229">O51*Q51/SQRT(P51)</f>
        <v>6.8595887440697098E-2</v>
      </c>
      <c r="S51" s="68">
        <f t="shared" ref="S51" si="230">AVERAGE(M51:M53)</f>
        <v>0.34999999999999992</v>
      </c>
      <c r="T51" s="68">
        <f t="shared" ref="T51" si="231">SQRT(R51^2+S51^2)</f>
        <v>0.35665865442153055</v>
      </c>
      <c r="U51" s="70">
        <f>AVERAGE(F51:F53)</f>
        <v>80.01942477070871</v>
      </c>
      <c r="W51" s="80">
        <f t="shared" ref="W51" si="232">AVERAGE(J51:J53)</f>
        <v>818088.88639224798</v>
      </c>
      <c r="Y51" s="10" t="s">
        <v>52</v>
      </c>
      <c r="Z51" s="58">
        <v>45723</v>
      </c>
      <c r="AA51" s="59"/>
      <c r="AB51" s="47">
        <v>80.056435288691659</v>
      </c>
      <c r="AC51" s="47">
        <v>20.940568650811912</v>
      </c>
      <c r="AD51" s="47">
        <v>20.746456146240234</v>
      </c>
      <c r="AE51" s="60">
        <v>42.813267191800001</v>
      </c>
      <c r="AF51" s="61">
        <v>1.5003722219200001E-5</v>
      </c>
      <c r="AG51" s="61">
        <f t="shared" si="154"/>
        <v>797406.32764596655</v>
      </c>
      <c r="AH51" s="47">
        <v>80.276127007602057</v>
      </c>
      <c r="AI51" s="48">
        <f t="shared" si="152"/>
        <v>0.27442106074067169</v>
      </c>
      <c r="AJ51" s="52">
        <v>0.15</v>
      </c>
      <c r="AK51" s="76">
        <f t="shared" ref="AK51" si="233">AVERAGE(AI51:AI53)</f>
        <v>0.26599050468995439</v>
      </c>
      <c r="AL51" s="68">
        <f t="shared" ref="AL51" si="234">STDEV(AI51:AI53)</f>
        <v>7.7870504515944036E-3</v>
      </c>
      <c r="AM51" s="68">
        <f t="shared" ref="AM51" si="235">COUNT(AJ51:AJ53)</f>
        <v>3</v>
      </c>
      <c r="AN51" s="67">
        <f t="shared" ref="AN51" si="236">TINV(0.05,AM51-1)</f>
        <v>4.3026527297494637</v>
      </c>
      <c r="AO51" s="67">
        <f t="shared" ref="AO51" si="237">AL51*AN51/SQRT(AM51)</f>
        <v>1.9344105690108103E-2</v>
      </c>
      <c r="AP51" s="68">
        <f t="shared" ref="AP51" si="238">AVERAGE(AJ51:AJ53)</f>
        <v>0.15</v>
      </c>
      <c r="AQ51" s="68">
        <f t="shared" ref="AQ51" si="239">SQRT(AO51^2+AP51^2)</f>
        <v>0.15124217145012853</v>
      </c>
      <c r="AR51" s="70">
        <f>AVERAGE(AB51:AB53)</f>
        <v>80.055611651137781</v>
      </c>
      <c r="AT51" s="80">
        <f t="shared" ref="AT51" si="240">AVERAGE(AG51:AG53)</f>
        <v>798146.85017852217</v>
      </c>
      <c r="AU51" s="18"/>
      <c r="AV51" s="10" t="s">
        <v>52</v>
      </c>
      <c r="AW51" s="58">
        <v>45671.413877314815</v>
      </c>
      <c r="AX51" s="59">
        <v>15.1</v>
      </c>
      <c r="AY51" s="47">
        <v>85.392839440932448</v>
      </c>
      <c r="AZ51" s="47">
        <v>23.304991985445486</v>
      </c>
      <c r="BA51" s="47">
        <v>21.297384350334447</v>
      </c>
      <c r="BB51" s="47">
        <v>48.246411724835681</v>
      </c>
      <c r="BC51" s="47">
        <v>1019835.79118244</v>
      </c>
      <c r="BD51" s="47">
        <v>85.335898400501662</v>
      </c>
      <c r="BE51" s="48">
        <f t="shared" si="153"/>
        <v>-6.6681282416159685E-2</v>
      </c>
      <c r="BF51" s="52">
        <v>0.22268532509911795</v>
      </c>
      <c r="BG51" s="76">
        <f t="shared" ref="BG51" si="241">AVERAGE(BE51:BE53)</f>
        <v>-8.4623813371603671E-2</v>
      </c>
      <c r="BH51" s="68">
        <f t="shared" ref="BH51" si="242">STDEV(BE51:BE53)</f>
        <v>1.6498970041721839E-2</v>
      </c>
      <c r="BI51" s="68">
        <f t="shared" ref="BI51" si="243">COUNT(BF51:BF53)</f>
        <v>3</v>
      </c>
      <c r="BJ51" s="67">
        <f t="shared" ref="BJ51" si="244">TINV(0.05,BI51-1)</f>
        <v>4.3026527297494637</v>
      </c>
      <c r="BK51" s="67">
        <f t="shared" ref="BK51" si="245">BH51*BJ51/SQRT(BI51)</f>
        <v>4.0985713685680158E-2</v>
      </c>
      <c r="BL51" s="68">
        <f t="shared" ref="BL51" si="246">AVERAGE(BF51:BF53)</f>
        <v>0.22240947533227082</v>
      </c>
      <c r="BM51" s="68">
        <f t="shared" ref="BM51" si="247">SQRT(BK51^2+BL51^2)</f>
        <v>0.22615437966995142</v>
      </c>
      <c r="BN51" s="70">
        <f>AVERAGE(AY51:AY53)</f>
        <v>85.392521077614148</v>
      </c>
      <c r="BP51" s="80">
        <f t="shared" ref="BP51" si="248">AVERAGE(BC51:BC53)</f>
        <v>1019901.3993886675</v>
      </c>
      <c r="BS51" s="68">
        <f>N51*BT51</f>
        <v>-0.23079725442646137</v>
      </c>
      <c r="BT51" s="68">
        <f>1/T51^2</f>
        <v>7.8613017468096178</v>
      </c>
      <c r="BU51" s="68">
        <f t="shared" ref="BU51" si="249">AK51*BV51</f>
        <v>11.62840971570237</v>
      </c>
      <c r="BV51" s="68">
        <f t="shared" ref="BV51" si="250">1/AQ51^2</f>
        <v>43.717386563316438</v>
      </c>
      <c r="BW51" s="68">
        <f>BG51*BX51</f>
        <v>-1.6545602507627748</v>
      </c>
      <c r="BX51" s="68">
        <f>1/BM51^2</f>
        <v>19.551946252967824</v>
      </c>
      <c r="BZ51" s="69">
        <f t="shared" ref="BZ51" si="251">AVERAGE(W51,AT51,BP51)</f>
        <v>878712.37865314586</v>
      </c>
      <c r="CA51" s="70">
        <f>AVERAGE(U51,AR51,BN51)</f>
        <v>81.822519166486885</v>
      </c>
      <c r="CB51" s="68">
        <f t="shared" ref="CB51" si="252">SUM(BS51,BU51,BW51)/SUM(BT51,BV51,BX51)</f>
        <v>0.13697406568011017</v>
      </c>
      <c r="CC51" s="68">
        <f t="shared" ref="CC51" si="253">SUM(BT51,BV51,BX51)</f>
        <v>71.130634563093878</v>
      </c>
      <c r="CD51" s="68">
        <f t="shared" ref="CD51" si="254">SQRT(CC51^-1)</f>
        <v>0.11856913688141481</v>
      </c>
      <c r="CF51" s="67">
        <f>N51-CB51</f>
        <v>-0.16633272177292924</v>
      </c>
      <c r="CG51" s="67">
        <f>SQRT(T51^2-CD51^2)</f>
        <v>0.33637294117240329</v>
      </c>
      <c r="CH51" s="71">
        <f t="shared" ref="CH51" si="255">ABS(CF51/CG51)</f>
        <v>0.49448900732974743</v>
      </c>
      <c r="CI51" s="67">
        <f t="shared" ref="CI51" si="256">AK51-CB51</f>
        <v>0.12901643900984422</v>
      </c>
      <c r="CJ51" s="67">
        <f t="shared" ref="CJ51" si="257">SQRT(AQ51^2-CD51^2)</f>
        <v>9.389118278169889E-2</v>
      </c>
      <c r="CK51" s="71">
        <f t="shared" ref="CK51" si="258">ABS(CI51/CJ51)</f>
        <v>1.3741060149366005</v>
      </c>
      <c r="CL51" s="75">
        <f>BG51-CB51</f>
        <v>-0.22159787905171385</v>
      </c>
      <c r="CM51" s="67">
        <f>SQRT(BM51^2-CD51^2)</f>
        <v>0.19258027734712829</v>
      </c>
      <c r="CN51" s="71">
        <f t="shared" ref="CN51" si="259">ABS(CL51/CM51)</f>
        <v>1.1506779515759082</v>
      </c>
    </row>
    <row r="52" spans="2:92">
      <c r="B52" s="49"/>
      <c r="C52" s="10" t="s">
        <v>52</v>
      </c>
      <c r="D52" s="54">
        <v>45484.5077199074</v>
      </c>
      <c r="E52" s="9">
        <v>13</v>
      </c>
      <c r="F52" s="47">
        <v>80.023086194006893</v>
      </c>
      <c r="G52" s="47">
        <v>21.349045192626718</v>
      </c>
      <c r="H52" s="47">
        <v>20.005346271021001</v>
      </c>
      <c r="I52" s="48">
        <v>43.945407743386397</v>
      </c>
      <c r="J52" s="57">
        <v>818113.73231656302</v>
      </c>
      <c r="K52" s="47">
        <v>79.997199896350594</v>
      </c>
      <c r="L52" s="48">
        <f t="shared" si="151"/>
        <v>-3.2348537012857857E-2</v>
      </c>
      <c r="M52" s="6">
        <v>0.35</v>
      </c>
      <c r="N52" s="76"/>
      <c r="O52" s="68"/>
      <c r="P52" s="68"/>
      <c r="Q52" s="67"/>
      <c r="R52" s="67"/>
      <c r="S52" s="68"/>
      <c r="T52" s="68"/>
      <c r="U52" s="70"/>
      <c r="W52" s="80"/>
      <c r="Y52" s="10" t="s">
        <v>52</v>
      </c>
      <c r="Z52" s="58">
        <v>45723</v>
      </c>
      <c r="AA52" s="59"/>
      <c r="AB52" s="47">
        <v>80.054656695519597</v>
      </c>
      <c r="AC52" s="47">
        <v>20.938583778917788</v>
      </c>
      <c r="AD52" s="47">
        <v>20.574997901916504</v>
      </c>
      <c r="AE52" s="60">
        <v>42.846427440299998</v>
      </c>
      <c r="AF52" s="61">
        <v>1.49952721097E-5</v>
      </c>
      <c r="AG52" s="61">
        <f t="shared" si="154"/>
        <v>798376.77272657794</v>
      </c>
      <c r="AH52" s="47">
        <v>80.266387714061551</v>
      </c>
      <c r="AI52" s="48">
        <f t="shared" si="152"/>
        <v>0.26448307604047722</v>
      </c>
      <c r="AJ52" s="52">
        <v>0.15</v>
      </c>
      <c r="AK52" s="76"/>
      <c r="AL52" s="68"/>
      <c r="AM52" s="68"/>
      <c r="AN52" s="67"/>
      <c r="AO52" s="67"/>
      <c r="AP52" s="68"/>
      <c r="AQ52" s="68"/>
      <c r="AR52" s="70"/>
      <c r="AT52" s="80"/>
      <c r="AV52" s="10" t="s">
        <v>52</v>
      </c>
      <c r="AW52" s="58">
        <v>45671.415335648147</v>
      </c>
      <c r="AX52" s="59">
        <v>15.2</v>
      </c>
      <c r="AY52" s="47">
        <v>85.393680311532833</v>
      </c>
      <c r="AZ52" s="47">
        <v>23.315899523964212</v>
      </c>
      <c r="BA52" s="47">
        <v>21.33519469924812</v>
      </c>
      <c r="BB52" s="47">
        <v>48.260395603789931</v>
      </c>
      <c r="BC52" s="47">
        <v>1019993.0774810837</v>
      </c>
      <c r="BD52" s="47">
        <v>85.318492507936512</v>
      </c>
      <c r="BE52" s="48">
        <f t="shared" si="153"/>
        <v>-8.8048440261646765E-2</v>
      </c>
      <c r="BF52" s="52">
        <v>0.22147061111796704</v>
      </c>
      <c r="BG52" s="76"/>
      <c r="BH52" s="68"/>
      <c r="BI52" s="68"/>
      <c r="BJ52" s="67"/>
      <c r="BK52" s="67"/>
      <c r="BL52" s="68"/>
      <c r="BM52" s="68"/>
      <c r="BN52" s="70"/>
      <c r="BP52" s="80"/>
      <c r="BS52" s="68"/>
      <c r="BT52" s="68"/>
      <c r="BU52" s="68"/>
      <c r="BV52" s="68"/>
      <c r="BW52" s="68"/>
      <c r="BX52" s="68"/>
      <c r="BZ52" s="69"/>
      <c r="CA52" s="70"/>
      <c r="CB52" s="68"/>
      <c r="CC52" s="68"/>
      <c r="CD52" s="68"/>
      <c r="CF52" s="67"/>
      <c r="CG52" s="67"/>
      <c r="CH52" s="71"/>
      <c r="CI52" s="67"/>
      <c r="CJ52" s="67"/>
      <c r="CK52" s="71"/>
      <c r="CL52" s="75"/>
      <c r="CM52" s="67"/>
      <c r="CN52" s="71"/>
    </row>
    <row r="53" spans="2:92">
      <c r="B53" s="49"/>
      <c r="C53" s="10" t="s">
        <v>52</v>
      </c>
      <c r="D53" s="54">
        <v>45484.521388888897</v>
      </c>
      <c r="E53" s="9">
        <v>14</v>
      </c>
      <c r="F53" s="47">
        <v>80.028405790214705</v>
      </c>
      <c r="G53" s="47">
        <v>21.345477621436551</v>
      </c>
      <c r="H53" s="47">
        <v>20.014579146395999</v>
      </c>
      <c r="I53" s="48">
        <v>43.934842098191503</v>
      </c>
      <c r="J53" s="57">
        <v>817951.35562264803</v>
      </c>
      <c r="K53" s="47">
        <v>79.984105578939193</v>
      </c>
      <c r="L53" s="48">
        <f t="shared" si="151"/>
        <v>-5.5355608846739179E-2</v>
      </c>
      <c r="M53" s="6">
        <v>0.35</v>
      </c>
      <c r="N53" s="76"/>
      <c r="O53" s="68"/>
      <c r="P53" s="68"/>
      <c r="Q53" s="67"/>
      <c r="R53" s="67"/>
      <c r="S53" s="68"/>
      <c r="T53" s="68"/>
      <c r="U53" s="70"/>
      <c r="W53" s="80"/>
      <c r="Y53" s="10" t="s">
        <v>52</v>
      </c>
      <c r="Z53" s="58">
        <v>45723</v>
      </c>
      <c r="AA53" s="59"/>
      <c r="AB53" s="47">
        <v>80.055742969202072</v>
      </c>
      <c r="AC53" s="47">
        <v>20.931032271981238</v>
      </c>
      <c r="AD53" s="47">
        <v>20.480605125427246</v>
      </c>
      <c r="AE53" s="60">
        <v>42.849512081299999</v>
      </c>
      <c r="AF53" s="61">
        <v>1.49904750723E-5</v>
      </c>
      <c r="AG53" s="61">
        <f t="shared" si="154"/>
        <v>798657.45016302203</v>
      </c>
      <c r="AH53" s="47">
        <v>80.263141282881378</v>
      </c>
      <c r="AI53" s="48">
        <f t="shared" si="152"/>
        <v>0.25906737728871421</v>
      </c>
      <c r="AJ53" s="52">
        <v>0.15</v>
      </c>
      <c r="AK53" s="76"/>
      <c r="AL53" s="68"/>
      <c r="AM53" s="68"/>
      <c r="AN53" s="67"/>
      <c r="AO53" s="67"/>
      <c r="AP53" s="68"/>
      <c r="AQ53" s="68"/>
      <c r="AR53" s="70"/>
      <c r="AT53" s="80"/>
      <c r="AV53" s="10" t="s">
        <v>52</v>
      </c>
      <c r="AW53" s="58">
        <v>45671.416886574072</v>
      </c>
      <c r="AX53" s="59">
        <v>15.3</v>
      </c>
      <c r="AY53" s="47">
        <v>85.391043480377149</v>
      </c>
      <c r="AZ53" s="47">
        <v>23.321409513304907</v>
      </c>
      <c r="BA53" s="47">
        <v>21.374982408521301</v>
      </c>
      <c r="BB53" s="47">
        <v>48.262267065392486</v>
      </c>
      <c r="BC53" s="47">
        <v>1019875.3295024785</v>
      </c>
      <c r="BD53" s="47">
        <v>85.306385333333324</v>
      </c>
      <c r="BE53" s="48">
        <f t="shared" si="153"/>
        <v>-9.9141717437004589E-2</v>
      </c>
      <c r="BF53" s="52">
        <v>0.22307248977972749</v>
      </c>
      <c r="BG53" s="76"/>
      <c r="BH53" s="68"/>
      <c r="BI53" s="68"/>
      <c r="BJ53" s="67"/>
      <c r="BK53" s="67"/>
      <c r="BL53" s="68"/>
      <c r="BM53" s="68"/>
      <c r="BN53" s="70"/>
      <c r="BP53" s="80"/>
      <c r="BS53" s="68"/>
      <c r="BT53" s="68"/>
      <c r="BU53" s="68"/>
      <c r="BV53" s="68"/>
      <c r="BW53" s="68"/>
      <c r="BX53" s="68"/>
      <c r="BZ53" s="69"/>
      <c r="CA53" s="70"/>
      <c r="CB53" s="68"/>
      <c r="CC53" s="68"/>
      <c r="CD53" s="68"/>
      <c r="CF53" s="67"/>
      <c r="CG53" s="67"/>
      <c r="CH53" s="71"/>
      <c r="CI53" s="67"/>
      <c r="CJ53" s="67"/>
      <c r="CK53" s="71"/>
      <c r="CL53" s="75"/>
      <c r="CM53" s="67"/>
      <c r="CN53" s="71"/>
    </row>
    <row r="54" spans="2:92">
      <c r="B54" s="49"/>
      <c r="C54" s="10" t="s">
        <v>52</v>
      </c>
      <c r="D54" s="54">
        <v>45484.535821759302</v>
      </c>
      <c r="E54" s="9">
        <v>15</v>
      </c>
      <c r="F54" s="47">
        <v>40.429151894435797</v>
      </c>
      <c r="G54" s="47">
        <v>21.344262303961866</v>
      </c>
      <c r="H54" s="47">
        <v>19.971019668170999</v>
      </c>
      <c r="I54" s="48">
        <v>43.941973645047099</v>
      </c>
      <c r="J54" s="57">
        <v>413343.14975354099</v>
      </c>
      <c r="K54" s="47">
        <v>40.347527441856698</v>
      </c>
      <c r="L54" s="48">
        <f t="shared" si="151"/>
        <v>-0.20189504047037179</v>
      </c>
      <c r="M54" s="6">
        <v>0.35</v>
      </c>
      <c r="N54" s="76">
        <f>AVERAGE(L54:L56)</f>
        <v>-0.23236077015275747</v>
      </c>
      <c r="O54" s="68">
        <f t="shared" ref="O54" si="260">STDEV(L54:L56)</f>
        <v>3.7905778448401442E-2</v>
      </c>
      <c r="P54" s="68">
        <f t="shared" ref="P54" si="261">COUNT(M54:M56)</f>
        <v>3</v>
      </c>
      <c r="Q54" s="67">
        <f t="shared" ref="Q54" si="262">TINV(0.05,P54-1)</f>
        <v>4.3026527297494637</v>
      </c>
      <c r="R54" s="67">
        <f t="shared" ref="R54" si="263">O54*Q54/SQRT(P54)</f>
        <v>9.4163173736926981E-2</v>
      </c>
      <c r="S54" s="68">
        <f t="shared" ref="S54" si="264">AVERAGE(M54:M56)</f>
        <v>0.34999999999999992</v>
      </c>
      <c r="T54" s="68">
        <f t="shared" ref="T54" si="265">SQRT(R54^2+S54^2)</f>
        <v>0.36244544870671319</v>
      </c>
      <c r="U54" s="70">
        <f>AVERAGE(F54:F56)</f>
        <v>40.438504474517636</v>
      </c>
      <c r="W54" s="80">
        <f t="shared" ref="W54" si="266">AVERAGE(J54:J56)</f>
        <v>413400.74053245736</v>
      </c>
      <c r="Y54" s="10" t="s">
        <v>52</v>
      </c>
      <c r="Z54" s="58">
        <v>45723</v>
      </c>
      <c r="AA54" s="59"/>
      <c r="AB54" s="47">
        <v>40.017718824757772</v>
      </c>
      <c r="AC54" s="47">
        <v>20.920255173007959</v>
      </c>
      <c r="AD54" s="47">
        <v>20.337067127227783</v>
      </c>
      <c r="AE54" s="60">
        <v>42.855876987000002</v>
      </c>
      <c r="AF54" s="61">
        <v>1.49831953334E-5</v>
      </c>
      <c r="AG54" s="61">
        <f t="shared" si="154"/>
        <v>398989.48053174897</v>
      </c>
      <c r="AH54" s="47">
        <v>40.072052736470944</v>
      </c>
      <c r="AI54" s="48">
        <f t="shared" si="152"/>
        <v>0.13577463510877957</v>
      </c>
      <c r="AJ54" s="52">
        <v>0.15</v>
      </c>
      <c r="AK54" s="76">
        <f>AVERAGE(AI54:AI56)</f>
        <v>0.14389497569375292</v>
      </c>
      <c r="AL54" s="68">
        <f t="shared" ref="AL54" si="267">STDEV(AI54:AI56)</f>
        <v>9.9107637900765454E-3</v>
      </c>
      <c r="AM54" s="68">
        <f t="shared" ref="AM54" si="268">COUNT(AJ54:AJ56)</f>
        <v>3</v>
      </c>
      <c r="AN54" s="67">
        <f t="shared" ref="AN54" si="269">TINV(0.05,AM54-1)</f>
        <v>4.3026527297494637</v>
      </c>
      <c r="AO54" s="67">
        <f t="shared" ref="AO54" si="270">AL54*AN54/SQRT(AM54)</f>
        <v>2.4619702083178787E-2</v>
      </c>
      <c r="AP54" s="68">
        <f t="shared" ref="AP54" si="271">AVERAGE(AJ54:AJ56)</f>
        <v>0.15</v>
      </c>
      <c r="AQ54" s="68">
        <f t="shared" ref="AQ54" si="272">SQRT(AO54^2+AP54^2)</f>
        <v>0.1520070055315362</v>
      </c>
      <c r="AR54" s="70">
        <f>AVERAGE(AB54:AB56)</f>
        <v>40.016515067351932</v>
      </c>
      <c r="AT54" s="80">
        <f t="shared" ref="AT54" si="273">AVERAGE(AG54:AG56)</f>
        <v>398954.23740763147</v>
      </c>
      <c r="AV54" s="10" t="s">
        <v>52</v>
      </c>
      <c r="AW54" s="58">
        <v>45671.430358796293</v>
      </c>
      <c r="AX54" s="59">
        <v>17.100000000000001</v>
      </c>
      <c r="AY54" s="47">
        <v>34.994063569422323</v>
      </c>
      <c r="AZ54" s="47">
        <v>23.055458642620444</v>
      </c>
      <c r="BA54" s="47">
        <v>21.178231686716792</v>
      </c>
      <c r="BB54" s="47">
        <v>47.668968475853312</v>
      </c>
      <c r="BC54" s="47">
        <v>413443.49627987243</v>
      </c>
      <c r="BD54" s="47">
        <v>34.764651199665835</v>
      </c>
      <c r="BE54" s="48">
        <f t="shared" si="153"/>
        <v>-0.65557510719317591</v>
      </c>
      <c r="BF54" s="52">
        <v>0.23262422877023739</v>
      </c>
      <c r="BG54" s="76">
        <f>AVERAGE(BE54:BE56)</f>
        <v>-0.65561054609638714</v>
      </c>
      <c r="BH54" s="68">
        <f t="shared" ref="BH54" si="274">STDEV(BE54:BE56)</f>
        <v>1.0833318927665474E-3</v>
      </c>
      <c r="BI54" s="68">
        <f t="shared" ref="BI54" si="275">COUNT(BF54:BF56)</f>
        <v>3</v>
      </c>
      <c r="BJ54" s="67">
        <f t="shared" ref="BJ54" si="276">TINV(0.05,BI54-1)</f>
        <v>4.3026527297494637</v>
      </c>
      <c r="BK54" s="67">
        <f t="shared" ref="BK54" si="277">BH54*BJ54/SQRT(BI54)</f>
        <v>2.6911456091632461E-3</v>
      </c>
      <c r="BL54" s="68">
        <f t="shared" ref="BL54" si="278">AVERAGE(BF54:BF56)</f>
        <v>0.23486792012014471</v>
      </c>
      <c r="BM54" s="68">
        <f t="shared" ref="BM54" si="279">SQRT(BK54^2+BL54^2)</f>
        <v>0.23488333735336014</v>
      </c>
      <c r="BN54" s="70">
        <f>AVERAGE(AY54:AY56)</f>
        <v>34.990901381865449</v>
      </c>
      <c r="BP54" s="80">
        <f t="shared" ref="BP54" si="280">AVERAGE(BC54:BC56)</f>
        <v>413044.0045647361</v>
      </c>
      <c r="BS54" s="68">
        <f>N54*BT54</f>
        <v>-1.768795016823798</v>
      </c>
      <c r="BT54" s="68">
        <f>1/T54^2</f>
        <v>7.6122790248154439</v>
      </c>
      <c r="BU54" s="68">
        <f t="shared" ref="BU54" si="281">AK54*BV54</f>
        <v>6.2275672027751066</v>
      </c>
      <c r="BV54" s="68">
        <f t="shared" ref="BV54" si="282">1/AQ54^2</f>
        <v>43.278559051492103</v>
      </c>
      <c r="BW54" s="68">
        <f>BG54*BX54</f>
        <v>-11.88342181145496</v>
      </c>
      <c r="BX54" s="68">
        <f>1/BM54^2</f>
        <v>18.125733153944527</v>
      </c>
      <c r="BZ54" s="69">
        <f t="shared" ref="BZ54" si="283">AVERAGE(W54,AT54,BP54)</f>
        <v>408466.32750160829</v>
      </c>
      <c r="CA54" s="70">
        <f>AVERAGE(U54,AR54,BN54)</f>
        <v>38.481973641245013</v>
      </c>
      <c r="CB54" s="68">
        <f t="shared" ref="CB54" si="284">SUM(BS54,BU54,BW54)/SUM(BT54,BV54,BX54)</f>
        <v>-0.10757778158427554</v>
      </c>
      <c r="CC54" s="68">
        <f t="shared" ref="CC54" si="285">SUM(BT54,BV54,BX54)</f>
        <v>69.016571230252069</v>
      </c>
      <c r="CD54" s="68">
        <f t="shared" ref="CD54" si="286">SQRT(CC54^-1)</f>
        <v>0.12037139958990359</v>
      </c>
      <c r="CF54" s="67">
        <f>N54-CB54</f>
        <v>-0.12478298856848193</v>
      </c>
      <c r="CG54" s="67">
        <f>SQRT(T54^2-CD54^2)</f>
        <v>0.34187341143905653</v>
      </c>
      <c r="CH54" s="71">
        <f t="shared" ref="CH54" si="287">ABS(CF54/CG54)</f>
        <v>0.36499764062735879</v>
      </c>
      <c r="CI54" s="67">
        <f t="shared" ref="CI54" si="288">AK54-CB54</f>
        <v>0.25147275727802848</v>
      </c>
      <c r="CJ54" s="67">
        <f t="shared" ref="CJ54" si="289">SQRT(AQ54^2-CD54^2)</f>
        <v>9.2827021343099433E-2</v>
      </c>
      <c r="CK54" s="71">
        <f t="shared" ref="CK54" si="290">ABS(CI54/CJ54)</f>
        <v>2.7090469309421876</v>
      </c>
      <c r="CL54" s="75">
        <f>BG54-CB54</f>
        <v>-0.54803276451211158</v>
      </c>
      <c r="CM54" s="67">
        <f>SQRT(BM54^2-CD54^2)</f>
        <v>0.20169508751335555</v>
      </c>
      <c r="CN54" s="71">
        <f t="shared" ref="CN54" si="291">ABS(CL54/CM54)</f>
        <v>2.7171349152260476</v>
      </c>
    </row>
    <row r="55" spans="2:92">
      <c r="B55" s="49"/>
      <c r="C55" s="10" t="s">
        <v>52</v>
      </c>
      <c r="D55" s="54">
        <v>45484.549074074101</v>
      </c>
      <c r="E55" s="9">
        <v>16</v>
      </c>
      <c r="F55" s="47">
        <v>40.433806984402402</v>
      </c>
      <c r="G55" s="47">
        <v>21.340503307788627</v>
      </c>
      <c r="H55" s="47">
        <v>19.952062719474998</v>
      </c>
      <c r="I55" s="48">
        <v>43.9373488228239</v>
      </c>
      <c r="J55" s="57">
        <v>413375.12368860003</v>
      </c>
      <c r="K55" s="47">
        <v>40.344700042146897</v>
      </c>
      <c r="L55" s="48">
        <f t="shared" si="151"/>
        <v>-0.22037732506829849</v>
      </c>
      <c r="M55" s="6">
        <v>0.35</v>
      </c>
      <c r="N55" s="76"/>
      <c r="O55" s="68"/>
      <c r="P55" s="68"/>
      <c r="Q55" s="67"/>
      <c r="R55" s="67"/>
      <c r="S55" s="68"/>
      <c r="T55" s="68"/>
      <c r="U55" s="70"/>
      <c r="W55" s="80"/>
      <c r="Y55" s="10" t="s">
        <v>52</v>
      </c>
      <c r="Z55" s="58">
        <v>45723</v>
      </c>
      <c r="AA55" s="59"/>
      <c r="AB55" s="47">
        <v>40.015641999165091</v>
      </c>
      <c r="AC55" s="47">
        <v>20.915224583700301</v>
      </c>
      <c r="AD55" s="47">
        <v>20.291793823242188</v>
      </c>
      <c r="AE55" s="60">
        <v>42.854042903699998</v>
      </c>
      <c r="AF55" s="61">
        <v>1.49808625449E-5</v>
      </c>
      <c r="AG55" s="61">
        <f t="shared" si="154"/>
        <v>399034.53230832506</v>
      </c>
      <c r="AH55" s="47">
        <v>40.072052736470951</v>
      </c>
      <c r="AI55" s="48">
        <f t="shared" si="152"/>
        <v>0.14097171627794308</v>
      </c>
      <c r="AJ55" s="52">
        <v>0.15</v>
      </c>
      <c r="AK55" s="76"/>
      <c r="AL55" s="68"/>
      <c r="AM55" s="68"/>
      <c r="AN55" s="67"/>
      <c r="AO55" s="67"/>
      <c r="AP55" s="68"/>
      <c r="AQ55" s="68"/>
      <c r="AR55" s="70"/>
      <c r="AT55" s="80"/>
      <c r="AV55" s="10" t="s">
        <v>52</v>
      </c>
      <c r="AW55" s="58">
        <v>45671.431817129633</v>
      </c>
      <c r="AX55" s="59">
        <v>17.2</v>
      </c>
      <c r="AY55" s="47">
        <v>34.990476194263884</v>
      </c>
      <c r="AZ55" s="47">
        <v>23.030835342961762</v>
      </c>
      <c r="BA55" s="47">
        <v>21.133849971595655</v>
      </c>
      <c r="BB55" s="47">
        <v>47.618986290295567</v>
      </c>
      <c r="BC55" s="47">
        <v>413047.92657446739</v>
      </c>
      <c r="BD55" s="47">
        <v>34.760689831244775</v>
      </c>
      <c r="BE55" s="48">
        <f t="shared" si="153"/>
        <v>-0.65671116261280982</v>
      </c>
      <c r="BF55" s="52">
        <v>0.23613622267632295</v>
      </c>
      <c r="BG55" s="76"/>
      <c r="BH55" s="68"/>
      <c r="BI55" s="68"/>
      <c r="BJ55" s="67"/>
      <c r="BK55" s="67"/>
      <c r="BL55" s="68"/>
      <c r="BM55" s="68"/>
      <c r="BN55" s="70"/>
      <c r="BP55" s="80"/>
      <c r="BS55" s="68"/>
      <c r="BT55" s="68"/>
      <c r="BU55" s="68"/>
      <c r="BV55" s="68"/>
      <c r="BW55" s="68"/>
      <c r="BX55" s="68"/>
      <c r="BZ55" s="69"/>
      <c r="CA55" s="70"/>
      <c r="CB55" s="68"/>
      <c r="CC55" s="68"/>
      <c r="CD55" s="68"/>
      <c r="CF55" s="67"/>
      <c r="CG55" s="67"/>
      <c r="CH55" s="71"/>
      <c r="CI55" s="67"/>
      <c r="CJ55" s="67"/>
      <c r="CK55" s="71"/>
      <c r="CL55" s="75"/>
      <c r="CM55" s="67"/>
      <c r="CN55" s="71"/>
    </row>
    <row r="56" spans="2:92">
      <c r="B56" s="49"/>
      <c r="C56" s="10" t="s">
        <v>52</v>
      </c>
      <c r="D56" s="54">
        <v>45484.5624074074</v>
      </c>
      <c r="E56" s="9">
        <v>17</v>
      </c>
      <c r="F56" s="47">
        <v>40.452554544714701</v>
      </c>
      <c r="G56" s="47">
        <v>21.341949608429292</v>
      </c>
      <c r="H56" s="47">
        <v>19.984846951698</v>
      </c>
      <c r="I56" s="48">
        <v>43.933330139035</v>
      </c>
      <c r="J56" s="57">
        <v>413483.94815523102</v>
      </c>
      <c r="K56" s="47">
        <v>40.341386901851799</v>
      </c>
      <c r="L56" s="48">
        <f t="shared" si="151"/>
        <v>-0.27480994491960214</v>
      </c>
      <c r="M56" s="6">
        <v>0.35</v>
      </c>
      <c r="N56" s="76"/>
      <c r="O56" s="68"/>
      <c r="P56" s="68"/>
      <c r="Q56" s="67"/>
      <c r="R56" s="67"/>
      <c r="S56" s="68"/>
      <c r="T56" s="68"/>
      <c r="U56" s="70"/>
      <c r="W56" s="80"/>
      <c r="Y56" s="10" t="s">
        <v>52</v>
      </c>
      <c r="Z56" s="58">
        <v>45723</v>
      </c>
      <c r="AA56" s="59"/>
      <c r="AB56" s="47">
        <v>40.016184378132934</v>
      </c>
      <c r="AC56" s="47">
        <v>20.903257648166267</v>
      </c>
      <c r="AD56" s="47">
        <v>20.292203903198242</v>
      </c>
      <c r="AE56" s="60">
        <v>42.8257511654</v>
      </c>
      <c r="AF56" s="61">
        <v>1.49806153227E-5</v>
      </c>
      <c r="AG56" s="61">
        <f t="shared" si="154"/>
        <v>398838.6993828204</v>
      </c>
      <c r="AH56" s="47">
        <v>40.078184884255712</v>
      </c>
      <c r="AI56" s="48">
        <f t="shared" si="152"/>
        <v>0.15493857569453612</v>
      </c>
      <c r="AJ56" s="52">
        <v>0.15</v>
      </c>
      <c r="AK56" s="76"/>
      <c r="AL56" s="68"/>
      <c r="AM56" s="68"/>
      <c r="AN56" s="67"/>
      <c r="AO56" s="67"/>
      <c r="AP56" s="68"/>
      <c r="AQ56" s="68"/>
      <c r="AR56" s="70"/>
      <c r="AT56" s="80"/>
      <c r="AV56" s="10" t="s">
        <v>52</v>
      </c>
      <c r="AW56" s="58">
        <v>45671.433310185188</v>
      </c>
      <c r="AX56" s="59">
        <v>17.3</v>
      </c>
      <c r="AY56" s="47">
        <v>34.988164381910153</v>
      </c>
      <c r="AZ56" s="47">
        <v>23.004293552307168</v>
      </c>
      <c r="BA56" s="47">
        <v>21.086038644945699</v>
      </c>
      <c r="BB56" s="47">
        <v>47.565131669329475</v>
      </c>
      <c r="BC56" s="47">
        <v>412640.59083986859</v>
      </c>
      <c r="BD56" s="47">
        <v>34.75915097243108</v>
      </c>
      <c r="BE56" s="48">
        <f t="shared" si="153"/>
        <v>-0.65454536848317557</v>
      </c>
      <c r="BF56" s="52">
        <v>0.23584330891387387</v>
      </c>
      <c r="BG56" s="76"/>
      <c r="BH56" s="68"/>
      <c r="BI56" s="68"/>
      <c r="BJ56" s="67"/>
      <c r="BK56" s="67"/>
      <c r="BL56" s="68"/>
      <c r="BM56" s="68"/>
      <c r="BN56" s="70"/>
      <c r="BP56" s="80"/>
      <c r="BS56" s="68"/>
      <c r="BT56" s="68"/>
      <c r="BU56" s="68"/>
      <c r="BV56" s="68"/>
      <c r="BW56" s="68"/>
      <c r="BX56" s="68"/>
      <c r="BZ56" s="69"/>
      <c r="CA56" s="70"/>
      <c r="CB56" s="68"/>
      <c r="CC56" s="68"/>
      <c r="CD56" s="68"/>
      <c r="CF56" s="67"/>
      <c r="CG56" s="67"/>
      <c r="CH56" s="71"/>
      <c r="CI56" s="67"/>
      <c r="CJ56" s="67"/>
      <c r="CK56" s="71"/>
      <c r="CL56" s="75"/>
      <c r="CM56" s="67"/>
      <c r="CN56" s="71"/>
    </row>
    <row r="57" spans="2:92">
      <c r="B57" s="49"/>
      <c r="C57" s="10" t="s">
        <v>52</v>
      </c>
      <c r="D57" s="54">
        <v>45484.5765972222</v>
      </c>
      <c r="E57" s="9">
        <v>18</v>
      </c>
      <c r="F57" s="47">
        <v>20.881416424455701</v>
      </c>
      <c r="G57" s="47">
        <v>21.341356496190294</v>
      </c>
      <c r="H57" s="47">
        <v>19.941318324623001</v>
      </c>
      <c r="I57" s="48">
        <v>43.941909318886601</v>
      </c>
      <c r="J57" s="57">
        <v>213510.53980757299</v>
      </c>
      <c r="K57" s="47">
        <v>20.8272169685664</v>
      </c>
      <c r="L57" s="48">
        <f t="shared" si="151"/>
        <v>-0.25955833065913764</v>
      </c>
      <c r="M57" s="6">
        <v>0.35</v>
      </c>
      <c r="N57" s="76">
        <f>AVERAGE(L57:L59)</f>
        <v>-0.26579964572501835</v>
      </c>
      <c r="O57" s="68">
        <f t="shared" ref="O57" si="292">STDEV(L57:L59)</f>
        <v>1.4711101174261063E-2</v>
      </c>
      <c r="P57" s="68">
        <f t="shared" ref="P57" si="293">COUNT(M57:M59)</f>
        <v>3</v>
      </c>
      <c r="Q57" s="67">
        <f t="shared" ref="Q57" si="294">TINV(0.05,P57-1)</f>
        <v>4.3026527297494637</v>
      </c>
      <c r="R57" s="67">
        <f t="shared" ref="R57" si="295">O57*Q57/SQRT(P57)</f>
        <v>3.6544401208356489E-2</v>
      </c>
      <c r="S57" s="68">
        <f t="shared" ref="S57" si="296">AVERAGE(M57:M59)</f>
        <v>0.34999999999999992</v>
      </c>
      <c r="T57" s="68">
        <f t="shared" ref="T57" si="297">SQRT(R57^2+S57^2)</f>
        <v>0.35190267583477858</v>
      </c>
      <c r="U57" s="70">
        <f>AVERAGE(F57:F59)</f>
        <v>20.840667909999365</v>
      </c>
      <c r="W57" s="80">
        <f t="shared" ref="W57" si="298">AVERAGE(J57:J59)</f>
        <v>213135.71484477699</v>
      </c>
      <c r="Y57" s="10" t="s">
        <v>52</v>
      </c>
      <c r="Z57" s="58">
        <v>45723</v>
      </c>
      <c r="AA57" s="59"/>
      <c r="AB57" s="47">
        <v>20.007710318750711</v>
      </c>
      <c r="AC57" s="47">
        <v>20.902061776340009</v>
      </c>
      <c r="AD57" s="47">
        <v>20.283790588378906</v>
      </c>
      <c r="AE57" s="60">
        <v>42.824793870599997</v>
      </c>
      <c r="AF57" s="61">
        <v>1.49801759754E-5</v>
      </c>
      <c r="AG57" s="61">
        <f t="shared" si="154"/>
        <v>198991.56104003647</v>
      </c>
      <c r="AH57" s="47">
        <v>19.995965692246866</v>
      </c>
      <c r="AI57" s="48">
        <f t="shared" si="152"/>
        <v>-5.8700502539952293E-2</v>
      </c>
      <c r="AJ57" s="52">
        <v>0.15</v>
      </c>
      <c r="AK57" s="76">
        <f>AVERAGE(AI57:AI59)</f>
        <v>-6.1547913949535682E-2</v>
      </c>
      <c r="AL57" s="68">
        <f t="shared" ref="AL57" si="299">STDEV(AI57:AI59)</f>
        <v>3.4123993583773061E-3</v>
      </c>
      <c r="AM57" s="68">
        <f t="shared" ref="AM57" si="300">COUNT(AJ57:AJ59)</f>
        <v>3</v>
      </c>
      <c r="AN57" s="67">
        <f t="shared" ref="AN57" si="301">TINV(0.05,AM57-1)</f>
        <v>4.3026527297494637</v>
      </c>
      <c r="AO57" s="67">
        <f t="shared" ref="AO57" si="302">AL57*AN57/SQRT(AM57)</f>
        <v>8.4768699336977005E-3</v>
      </c>
      <c r="AP57" s="68">
        <f t="shared" ref="AP57" si="303">AVERAGE(AJ57:AJ59)</f>
        <v>0.15</v>
      </c>
      <c r="AQ57" s="68">
        <f t="shared" ref="AQ57" si="304">SQRT(AO57^2+AP57^2)</f>
        <v>0.150239333477864</v>
      </c>
      <c r="AR57" s="70">
        <f>AVERAGE(AB57:AB59)</f>
        <v>20.007150072844507</v>
      </c>
      <c r="AT57" s="80">
        <f t="shared" ref="AT57" si="305">AVERAGE(AG57:AG59)</f>
        <v>198924.78078131346</v>
      </c>
      <c r="AV57" s="10" t="s">
        <v>52</v>
      </c>
      <c r="AW57" s="58">
        <v>45671.438680555555</v>
      </c>
      <c r="AX57" s="59">
        <v>18.100000000000001</v>
      </c>
      <c r="AY57" s="47">
        <v>25.049758191810113</v>
      </c>
      <c r="AZ57" s="47">
        <v>22.886667691981739</v>
      </c>
      <c r="BA57" s="47">
        <v>20.892783228260871</v>
      </c>
      <c r="BB57" s="47">
        <v>47.325533450828623</v>
      </c>
      <c r="BC57" s="47">
        <v>294210.37678621814</v>
      </c>
      <c r="BD57" s="47">
        <v>24.845368216555187</v>
      </c>
      <c r="BE57" s="48">
        <f t="shared" si="153"/>
        <v>-0.81593592117687885</v>
      </c>
      <c r="BF57" s="52">
        <v>0.23325694004201075</v>
      </c>
      <c r="BG57" s="76">
        <f>AVERAGE(BE57:BE59)</f>
        <v>-0.81791124822614414</v>
      </c>
      <c r="BH57" s="68">
        <f t="shared" ref="BH57" si="306">STDEV(BE57:BE59)</f>
        <v>2.184214051603647E-3</v>
      </c>
      <c r="BI57" s="68">
        <f t="shared" ref="BI57" si="307">COUNT(BF57:BF59)</f>
        <v>3</v>
      </c>
      <c r="BJ57" s="67">
        <f t="shared" ref="BJ57" si="308">TINV(0.05,BI57-1)</f>
        <v>4.3026527297494637</v>
      </c>
      <c r="BK57" s="67">
        <f t="shared" ref="BK57" si="309">BH57*BJ57/SQRT(BI57)</f>
        <v>5.4258884961236034E-3</v>
      </c>
      <c r="BL57" s="68">
        <f t="shared" ref="BL57" si="310">AVERAGE(BF57:BF59)</f>
        <v>0.23282391620474996</v>
      </c>
      <c r="BM57" s="68">
        <f t="shared" ref="BM57" si="311">SQRT(BK57^2+BL57^2)</f>
        <v>0.2328871319392482</v>
      </c>
      <c r="BN57" s="70">
        <f>AVERAGE(AY57:AY59)</f>
        <v>25.04771783784506</v>
      </c>
      <c r="BP57" s="80">
        <f t="shared" ref="BP57" si="312">AVERAGE(BC57:BC59)</f>
        <v>293929.6533173513</v>
      </c>
      <c r="BS57" s="68">
        <f>N57*BT57</f>
        <v>-2.146393079467523</v>
      </c>
      <c r="BT57" s="68">
        <f>1/T57^2</f>
        <v>8.0752292713289116</v>
      </c>
      <c r="BU57" s="68">
        <f t="shared" ref="BU57" si="313">AK57*BV57</f>
        <v>-2.7267545185322586</v>
      </c>
      <c r="BV57" s="68">
        <f t="shared" ref="BV57" si="314">1/AQ57^2</f>
        <v>44.302955917693282</v>
      </c>
      <c r="BW57" s="68">
        <f>BG57*BX57</f>
        <v>-15.080481071331738</v>
      </c>
      <c r="BX57" s="68">
        <f>1/BM57^2</f>
        <v>18.437796403995826</v>
      </c>
      <c r="BZ57" s="69">
        <f t="shared" ref="BZ57" si="315">AVERAGE(W57,AT57,BP57)</f>
        <v>235330.0496478139</v>
      </c>
      <c r="CA57" s="70">
        <f>AVERAGE(U57,AR57,BN57)</f>
        <v>21.965178606896313</v>
      </c>
      <c r="CB57" s="68">
        <f t="shared" ref="CB57" si="316">SUM(BS57,BU57,BW57)/SUM(BT57,BV57,BX57)</f>
        <v>-0.28176731043573944</v>
      </c>
      <c r="CC57" s="68">
        <f t="shared" ref="CC57" si="317">SUM(BT57,BV57,BX57)</f>
        <v>70.815981593018023</v>
      </c>
      <c r="CD57" s="68">
        <f t="shared" ref="CD57" si="318">SQRT(CC57^-1)</f>
        <v>0.11883226096538013</v>
      </c>
      <c r="CF57" s="67">
        <f>N57-CB57</f>
        <v>1.5967664710721086E-2</v>
      </c>
      <c r="CG57" s="67">
        <f>SQRT(T57^2-CD57^2)</f>
        <v>0.33123162139737361</v>
      </c>
      <c r="CH57" s="71">
        <f t="shared" ref="CH57" si="319">ABS(CF57/CG57)</f>
        <v>4.8206945470236122E-2</v>
      </c>
      <c r="CI57" s="67">
        <f t="shared" ref="CI57" si="320">AK57-CB57</f>
        <v>0.22021939648620376</v>
      </c>
      <c r="CJ57" s="67">
        <f>SQRT(AQ57^2-CD57^2)</f>
        <v>9.19279667877443E-2</v>
      </c>
      <c r="CK57" s="71">
        <f t="shared" ref="CK57" si="321">ABS(CI57/CJ57)</f>
        <v>2.3955647468487586</v>
      </c>
      <c r="CL57" s="75">
        <f>BG57-CB57</f>
        <v>-0.5361439377904047</v>
      </c>
      <c r="CM57" s="67">
        <f>SQRT(BM57^2-CD57^2)</f>
        <v>0.20028806748467215</v>
      </c>
      <c r="CN57" s="71">
        <f t="shared" ref="CN57" si="322">ABS(CL57/CM57)</f>
        <v>2.6768641014095125</v>
      </c>
    </row>
    <row r="58" spans="2:92">
      <c r="B58" s="49"/>
      <c r="C58" s="10" t="s">
        <v>52</v>
      </c>
      <c r="D58" s="54">
        <v>45484.589791666702</v>
      </c>
      <c r="E58" s="9">
        <v>19</v>
      </c>
      <c r="F58" s="47">
        <v>20.8295280164083</v>
      </c>
      <c r="G58" s="47">
        <v>21.345070789566794</v>
      </c>
      <c r="H58" s="47">
        <v>19.929820886015001</v>
      </c>
      <c r="I58" s="48">
        <v>43.9533197060736</v>
      </c>
      <c r="J58" s="57">
        <v>213042.038120721</v>
      </c>
      <c r="K58" s="47">
        <v>20.7706632610677</v>
      </c>
      <c r="L58" s="48">
        <f t="shared" si="151"/>
        <v>-0.2826024444443978</v>
      </c>
      <c r="M58" s="6">
        <v>0.35</v>
      </c>
      <c r="N58" s="76"/>
      <c r="O58" s="68"/>
      <c r="P58" s="68"/>
      <c r="Q58" s="67"/>
      <c r="R58" s="67"/>
      <c r="S58" s="68"/>
      <c r="T58" s="68"/>
      <c r="U58" s="70"/>
      <c r="W58" s="80"/>
      <c r="Y58" s="10" t="s">
        <v>52</v>
      </c>
      <c r="Z58" s="58">
        <v>45723</v>
      </c>
      <c r="AA58" s="59"/>
      <c r="AB58" s="47">
        <v>20.00758436833226</v>
      </c>
      <c r="AC58" s="47">
        <v>20.896919429287315</v>
      </c>
      <c r="AD58" s="47">
        <v>20.305246829986572</v>
      </c>
      <c r="AE58" s="60">
        <v>42.807934060199997</v>
      </c>
      <c r="AF58" s="61">
        <v>1.49811134912E-5</v>
      </c>
      <c r="AG58" s="61">
        <f t="shared" si="154"/>
        <v>198886.32494959366</v>
      </c>
      <c r="AH58" s="47">
        <v>19.994513341455736</v>
      </c>
      <c r="AI58" s="48">
        <f t="shared" si="152"/>
        <v>-6.5330359906980176E-2</v>
      </c>
      <c r="AJ58" s="52">
        <v>0.15</v>
      </c>
      <c r="AK58" s="76"/>
      <c r="AL58" s="68"/>
      <c r="AM58" s="68"/>
      <c r="AN58" s="67"/>
      <c r="AO58" s="67"/>
      <c r="AP58" s="68"/>
      <c r="AQ58" s="68"/>
      <c r="AR58" s="70"/>
      <c r="AT58" s="80"/>
      <c r="AV58" s="10" t="s">
        <v>52</v>
      </c>
      <c r="AW58" s="58">
        <v>45671.44023148148</v>
      </c>
      <c r="AX58" s="59">
        <v>18.2</v>
      </c>
      <c r="AY58" s="47">
        <v>25.047815917144348</v>
      </c>
      <c r="AZ58" s="47">
        <v>22.858725724213166</v>
      </c>
      <c r="BA58" s="47">
        <v>20.841455826232245</v>
      </c>
      <c r="BB58" s="47">
        <v>47.271518404460359</v>
      </c>
      <c r="BC58" s="47">
        <v>293922.52193842392</v>
      </c>
      <c r="BD58" s="47">
        <v>24.843039791979951</v>
      </c>
      <c r="BE58" s="48">
        <f t="shared" si="153"/>
        <v>-0.81754084205096256</v>
      </c>
      <c r="BF58" s="52">
        <v>0.23424455251466381</v>
      </c>
      <c r="BG58" s="76"/>
      <c r="BH58" s="68"/>
      <c r="BI58" s="68"/>
      <c r="BJ58" s="67"/>
      <c r="BK58" s="67"/>
      <c r="BL58" s="68"/>
      <c r="BM58" s="68"/>
      <c r="BN58" s="70"/>
      <c r="BP58" s="80"/>
      <c r="BS58" s="68"/>
      <c r="BT58" s="68"/>
      <c r="BU58" s="68"/>
      <c r="BV58" s="68"/>
      <c r="BW58" s="68"/>
      <c r="BX58" s="68"/>
      <c r="BZ58" s="69"/>
      <c r="CA58" s="70"/>
      <c r="CB58" s="68"/>
      <c r="CC58" s="68"/>
      <c r="CD58" s="68"/>
      <c r="CF58" s="67"/>
      <c r="CG58" s="67"/>
      <c r="CH58" s="71"/>
      <c r="CI58" s="67"/>
      <c r="CJ58" s="67"/>
      <c r="CK58" s="71"/>
      <c r="CL58" s="75"/>
      <c r="CM58" s="67"/>
      <c r="CN58" s="71"/>
    </row>
    <row r="59" spans="2:92">
      <c r="B59" s="49"/>
      <c r="C59" s="10" t="s">
        <v>52</v>
      </c>
      <c r="D59" s="54">
        <v>45484.602766203701</v>
      </c>
      <c r="E59" s="9">
        <v>20</v>
      </c>
      <c r="F59" s="47">
        <v>20.8110592891341</v>
      </c>
      <c r="G59" s="47">
        <v>21.346681074713203</v>
      </c>
      <c r="H59" s="47">
        <v>19.939089990273999</v>
      </c>
      <c r="I59" s="48">
        <v>43.955048871288398</v>
      </c>
      <c r="J59" s="57">
        <v>212854.566606037</v>
      </c>
      <c r="K59" s="47">
        <v>20.7579415238969</v>
      </c>
      <c r="L59" s="48">
        <f t="shared" si="151"/>
        <v>-0.25523816207151961</v>
      </c>
      <c r="M59" s="6">
        <v>0.35</v>
      </c>
      <c r="N59" s="76"/>
      <c r="O59" s="68"/>
      <c r="P59" s="68"/>
      <c r="Q59" s="67"/>
      <c r="R59" s="67"/>
      <c r="S59" s="68"/>
      <c r="T59" s="68"/>
      <c r="U59" s="70"/>
      <c r="W59" s="80"/>
      <c r="Y59" s="10" t="s">
        <v>52</v>
      </c>
      <c r="Z59" s="58">
        <v>45723</v>
      </c>
      <c r="AA59" s="59"/>
      <c r="AB59" s="47">
        <v>20.006155531450553</v>
      </c>
      <c r="AC59" s="47">
        <v>20.896076705396176</v>
      </c>
      <c r="AD59" s="47">
        <v>20.290990829467773</v>
      </c>
      <c r="AE59" s="60">
        <v>42.809099438600001</v>
      </c>
      <c r="AF59" s="61">
        <v>1.4980395476899999E-5</v>
      </c>
      <c r="AG59" s="61">
        <f t="shared" si="154"/>
        <v>198896.45635431024</v>
      </c>
      <c r="AH59" s="47">
        <v>19.994029224525363</v>
      </c>
      <c r="AI59" s="48">
        <f t="shared" si="152"/>
        <v>-6.0612879401674563E-2</v>
      </c>
      <c r="AJ59" s="52">
        <v>0.15</v>
      </c>
      <c r="AK59" s="76"/>
      <c r="AL59" s="68"/>
      <c r="AM59" s="68"/>
      <c r="AN59" s="67"/>
      <c r="AO59" s="67"/>
      <c r="AP59" s="68"/>
      <c r="AQ59" s="68"/>
      <c r="AR59" s="70"/>
      <c r="AT59" s="80"/>
      <c r="AV59" s="10" t="s">
        <v>52</v>
      </c>
      <c r="AW59" s="58">
        <v>45671.441759259258</v>
      </c>
      <c r="AX59" s="59">
        <v>18.3</v>
      </c>
      <c r="AY59" s="47">
        <v>25.045579404580725</v>
      </c>
      <c r="AZ59" s="47">
        <v>22.833259779659304</v>
      </c>
      <c r="BA59" s="47">
        <v>20.797293587792641</v>
      </c>
      <c r="BB59" s="47">
        <v>47.222471690891673</v>
      </c>
      <c r="BC59" s="47">
        <v>293656.06122741173</v>
      </c>
      <c r="BD59" s="47">
        <v>24.8401412909699</v>
      </c>
      <c r="BE59" s="48">
        <f t="shared" si="153"/>
        <v>-0.82025698145059101</v>
      </c>
      <c r="BF59" s="52">
        <v>0.23097025605757535</v>
      </c>
      <c r="BG59" s="76"/>
      <c r="BH59" s="68"/>
      <c r="BI59" s="68"/>
      <c r="BJ59" s="67"/>
      <c r="BK59" s="67"/>
      <c r="BL59" s="68"/>
      <c r="BM59" s="68"/>
      <c r="BN59" s="70"/>
      <c r="BP59" s="80"/>
      <c r="BS59" s="68"/>
      <c r="BT59" s="68"/>
      <c r="BU59" s="68"/>
      <c r="BV59" s="68"/>
      <c r="BW59" s="68"/>
      <c r="BX59" s="68"/>
      <c r="BZ59" s="69"/>
      <c r="CA59" s="70"/>
      <c r="CB59" s="68"/>
      <c r="CC59" s="68"/>
      <c r="CD59" s="68"/>
      <c r="CF59" s="67"/>
      <c r="CG59" s="67"/>
      <c r="CH59" s="71"/>
      <c r="CI59" s="67"/>
      <c r="CJ59" s="67"/>
      <c r="CK59" s="71"/>
      <c r="CL59" s="75"/>
      <c r="CM59" s="67"/>
      <c r="CN59" s="71"/>
    </row>
  </sheetData>
  <mergeCells count="581">
    <mergeCell ref="BJ57:BJ59"/>
    <mergeCell ref="AV2:BN3"/>
    <mergeCell ref="BP57:BP59"/>
    <mergeCell ref="BI13:BI15"/>
    <mergeCell ref="BJ13:BJ15"/>
    <mergeCell ref="BI16:BI18"/>
    <mergeCell ref="BJ16:BJ18"/>
    <mergeCell ref="BI19:BI21"/>
    <mergeCell ref="BJ19:BJ21"/>
    <mergeCell ref="BI22:BI24"/>
    <mergeCell ref="BJ22:BJ24"/>
    <mergeCell ref="BI25:BI27"/>
    <mergeCell ref="BJ25:BJ27"/>
    <mergeCell ref="BI28:BI30"/>
    <mergeCell ref="BJ28:BJ30"/>
    <mergeCell ref="BI42:BI44"/>
    <mergeCell ref="BJ42:BJ44"/>
    <mergeCell ref="BI45:BI47"/>
    <mergeCell ref="BJ45:BJ47"/>
    <mergeCell ref="BI48:BI50"/>
    <mergeCell ref="BJ48:BJ50"/>
    <mergeCell ref="BI51:BI53"/>
    <mergeCell ref="BJ51:BJ53"/>
    <mergeCell ref="BM57:BM59"/>
    <mergeCell ref="BN57:BN59"/>
    <mergeCell ref="BP51:BP53"/>
    <mergeCell ref="BP54:BP56"/>
    <mergeCell ref="BK19:BK21"/>
    <mergeCell ref="BL19:BL21"/>
    <mergeCell ref="BM19:BM21"/>
    <mergeCell ref="BN19:BN21"/>
    <mergeCell ref="BK25:BK27"/>
    <mergeCell ref="BL25:BL27"/>
    <mergeCell ref="BM25:BM27"/>
    <mergeCell ref="BP13:BP15"/>
    <mergeCell ref="BP16:BP18"/>
    <mergeCell ref="BP19:BP21"/>
    <mergeCell ref="BP22:BP24"/>
    <mergeCell ref="BP25:BP27"/>
    <mergeCell ref="BP28:BP30"/>
    <mergeCell ref="BP42:BP44"/>
    <mergeCell ref="BP45:BP47"/>
    <mergeCell ref="BP48:BP50"/>
    <mergeCell ref="AT57:AT59"/>
    <mergeCell ref="AT13:AT15"/>
    <mergeCell ref="AT16:AT18"/>
    <mergeCell ref="AT19:AT21"/>
    <mergeCell ref="AT22:AT24"/>
    <mergeCell ref="AT25:AT27"/>
    <mergeCell ref="AT28:AT30"/>
    <mergeCell ref="AT42:AT44"/>
    <mergeCell ref="AT45:AT47"/>
    <mergeCell ref="AT48:AT50"/>
    <mergeCell ref="BI57:BI59"/>
    <mergeCell ref="BL54:BL56"/>
    <mergeCell ref="AM54:AM56"/>
    <mergeCell ref="AN54:AN56"/>
    <mergeCell ref="AM57:AM59"/>
    <mergeCell ref="AN57:AN59"/>
    <mergeCell ref="W13:W15"/>
    <mergeCell ref="W16:W18"/>
    <mergeCell ref="W19:W21"/>
    <mergeCell ref="W22:W24"/>
    <mergeCell ref="W25:W27"/>
    <mergeCell ref="W28:W30"/>
    <mergeCell ref="W42:W44"/>
    <mergeCell ref="W45:W47"/>
    <mergeCell ref="W48:W50"/>
    <mergeCell ref="W51:W53"/>
    <mergeCell ref="W54:W56"/>
    <mergeCell ref="W57:W59"/>
    <mergeCell ref="AK54:AK56"/>
    <mergeCell ref="AL54:AL56"/>
    <mergeCell ref="AL42:AL44"/>
    <mergeCell ref="AK48:AK50"/>
    <mergeCell ref="AT51:AT53"/>
    <mergeCell ref="AT54:AT56"/>
    <mergeCell ref="AL57:AL59"/>
    <mergeCell ref="AK28:AK30"/>
    <mergeCell ref="AL28:AL30"/>
    <mergeCell ref="P54:P56"/>
    <mergeCell ref="Q54:Q56"/>
    <mergeCell ref="P57:P59"/>
    <mergeCell ref="Q57:Q59"/>
    <mergeCell ref="C2:U3"/>
    <mergeCell ref="P25:P27"/>
    <mergeCell ref="Q25:Q27"/>
    <mergeCell ref="P28:P30"/>
    <mergeCell ref="Q28:Q30"/>
    <mergeCell ref="P42:P44"/>
    <mergeCell ref="Q42:Q44"/>
    <mergeCell ref="P45:P47"/>
    <mergeCell ref="Q45:Q47"/>
    <mergeCell ref="P48:P50"/>
    <mergeCell ref="Q48:Q50"/>
    <mergeCell ref="N57:N59"/>
    <mergeCell ref="O57:O59"/>
    <mergeCell ref="R57:R59"/>
    <mergeCell ref="S57:S59"/>
    <mergeCell ref="T57:T59"/>
    <mergeCell ref="AE9:AG9"/>
    <mergeCell ref="Y2:AR3"/>
    <mergeCell ref="AM42:AM44"/>
    <mergeCell ref="AN42:AN44"/>
    <mergeCell ref="AM45:AM47"/>
    <mergeCell ref="AN45:AN47"/>
    <mergeCell ref="AM48:AM50"/>
    <mergeCell ref="AN48:AN50"/>
    <mergeCell ref="AE38:AG38"/>
    <mergeCell ref="AM13:AM15"/>
    <mergeCell ref="AN13:AN15"/>
    <mergeCell ref="AM16:AM18"/>
    <mergeCell ref="AN16:AN18"/>
    <mergeCell ref="AM19:AM21"/>
    <mergeCell ref="AN19:AN21"/>
    <mergeCell ref="AM22:AM24"/>
    <mergeCell ref="AN22:AN24"/>
    <mergeCell ref="AM25:AM27"/>
    <mergeCell ref="AN25:AN27"/>
    <mergeCell ref="AL48:AL50"/>
    <mergeCell ref="CI10:CK10"/>
    <mergeCell ref="CL10:CN10"/>
    <mergeCell ref="BM54:BM56"/>
    <mergeCell ref="R54:R56"/>
    <mergeCell ref="S54:S56"/>
    <mergeCell ref="T54:T56"/>
    <mergeCell ref="U54:U56"/>
    <mergeCell ref="CL54:CL56"/>
    <mergeCell ref="CM54:CM56"/>
    <mergeCell ref="CN54:CN56"/>
    <mergeCell ref="CJ45:CJ47"/>
    <mergeCell ref="CK45:CK47"/>
    <mergeCell ref="CL28:CL30"/>
    <mergeCell ref="CM28:CM30"/>
    <mergeCell ref="CN28:CN30"/>
    <mergeCell ref="CJ28:CJ30"/>
    <mergeCell ref="CK28:CK30"/>
    <mergeCell ref="CH28:CH30"/>
    <mergeCell ref="BS28:BS30"/>
    <mergeCell ref="BT28:BT30"/>
    <mergeCell ref="AM28:AM30"/>
    <mergeCell ref="AN28:AN30"/>
    <mergeCell ref="BI54:BI56"/>
    <mergeCell ref="BJ54:BJ56"/>
    <mergeCell ref="BW25:BW27"/>
    <mergeCell ref="BX25:BX27"/>
    <mergeCell ref="CA25:CA27"/>
    <mergeCell ref="CB25:CB27"/>
    <mergeCell ref="CC25:CC27"/>
    <mergeCell ref="BS10:BT10"/>
    <mergeCell ref="BU10:BV10"/>
    <mergeCell ref="BW10:BX10"/>
    <mergeCell ref="CF10:CH10"/>
    <mergeCell ref="AO28:AO30"/>
    <mergeCell ref="AP28:AP30"/>
    <mergeCell ref="AQ28:AQ30"/>
    <mergeCell ref="AR28:AR30"/>
    <mergeCell ref="CB45:CB47"/>
    <mergeCell ref="CC45:CC47"/>
    <mergeCell ref="CD45:CD47"/>
    <mergeCell ref="AL51:AL53"/>
    <mergeCell ref="AO51:AO53"/>
    <mergeCell ref="AP51:AP53"/>
    <mergeCell ref="BU28:BU30"/>
    <mergeCell ref="BV28:BV30"/>
    <mergeCell ref="CB28:CB30"/>
    <mergeCell ref="CC28:CC30"/>
    <mergeCell ref="CD28:CD30"/>
    <mergeCell ref="BW28:BW30"/>
    <mergeCell ref="BX28:BX30"/>
    <mergeCell ref="BS57:BS59"/>
    <mergeCell ref="BT57:BT59"/>
    <mergeCell ref="BU57:BU59"/>
    <mergeCell ref="BV57:BV59"/>
    <mergeCell ref="BW57:BW59"/>
    <mergeCell ref="BX57:BX59"/>
    <mergeCell ref="BS51:BS53"/>
    <mergeCell ref="BT51:BT53"/>
    <mergeCell ref="BU51:BU53"/>
    <mergeCell ref="BV51:BV53"/>
    <mergeCell ref="BW51:BW53"/>
    <mergeCell ref="BX51:BX53"/>
    <mergeCell ref="BS54:BS56"/>
    <mergeCell ref="BT54:BT56"/>
    <mergeCell ref="BU54:BU56"/>
    <mergeCell ref="BV54:BV56"/>
    <mergeCell ref="BW54:BW56"/>
    <mergeCell ref="BX54:BX56"/>
    <mergeCell ref="CA57:CA59"/>
    <mergeCell ref="CB57:CB59"/>
    <mergeCell ref="CC57:CC59"/>
    <mergeCell ref="CD57:CD59"/>
    <mergeCell ref="CA51:CA53"/>
    <mergeCell ref="CB51:CB53"/>
    <mergeCell ref="CC51:CC53"/>
    <mergeCell ref="CD51:CD53"/>
    <mergeCell ref="CA54:CA56"/>
    <mergeCell ref="CB54:CB56"/>
    <mergeCell ref="CC54:CC56"/>
    <mergeCell ref="CD54:CD56"/>
    <mergeCell ref="CJ54:CJ56"/>
    <mergeCell ref="CK54:CK56"/>
    <mergeCell ref="CF51:CF53"/>
    <mergeCell ref="CG51:CG53"/>
    <mergeCell ref="CH51:CH53"/>
    <mergeCell ref="CI51:CI53"/>
    <mergeCell ref="CJ51:CJ53"/>
    <mergeCell ref="CK51:CK53"/>
    <mergeCell ref="CN57:CN59"/>
    <mergeCell ref="CF57:CF59"/>
    <mergeCell ref="CG57:CG59"/>
    <mergeCell ref="CH57:CH59"/>
    <mergeCell ref="CI57:CI59"/>
    <mergeCell ref="CJ57:CJ59"/>
    <mergeCell ref="CK57:CK59"/>
    <mergeCell ref="CL57:CL59"/>
    <mergeCell ref="CM57:CM59"/>
    <mergeCell ref="CL51:CL53"/>
    <mergeCell ref="CM51:CM53"/>
    <mergeCell ref="CN51:CN53"/>
    <mergeCell ref="CF54:CF56"/>
    <mergeCell ref="CG54:CG56"/>
    <mergeCell ref="CH54:CH56"/>
    <mergeCell ref="CI54:CI56"/>
    <mergeCell ref="N13:N15"/>
    <mergeCell ref="N16:N18"/>
    <mergeCell ref="N19:N21"/>
    <mergeCell ref="N22:N24"/>
    <mergeCell ref="N25:N27"/>
    <mergeCell ref="N28:N30"/>
    <mergeCell ref="O13:O15"/>
    <mergeCell ref="R13:R15"/>
    <mergeCell ref="S13:S15"/>
    <mergeCell ref="O16:O18"/>
    <mergeCell ref="R16:R18"/>
    <mergeCell ref="S16:S18"/>
    <mergeCell ref="O19:O21"/>
    <mergeCell ref="R19:R21"/>
    <mergeCell ref="S19:S21"/>
    <mergeCell ref="O22:O24"/>
    <mergeCell ref="R22:R24"/>
    <mergeCell ref="S22:S24"/>
    <mergeCell ref="O25:O27"/>
    <mergeCell ref="R25:R27"/>
    <mergeCell ref="S25:S27"/>
    <mergeCell ref="P13:P15"/>
    <mergeCell ref="Q16:Q18"/>
    <mergeCell ref="P19:P21"/>
    <mergeCell ref="Q13:Q15"/>
    <mergeCell ref="P16:P18"/>
    <mergeCell ref="AP19:AP21"/>
    <mergeCell ref="AQ19:AQ21"/>
    <mergeCell ref="AR19:AR21"/>
    <mergeCell ref="AK22:AK24"/>
    <mergeCell ref="AL22:AL24"/>
    <mergeCell ref="AO22:AO24"/>
    <mergeCell ref="AP22:AP24"/>
    <mergeCell ref="AQ22:AQ24"/>
    <mergeCell ref="AR22:AR24"/>
    <mergeCell ref="AP13:AP15"/>
    <mergeCell ref="AQ13:AQ15"/>
    <mergeCell ref="AR13:AR15"/>
    <mergeCell ref="AK16:AK18"/>
    <mergeCell ref="AL16:AL18"/>
    <mergeCell ref="AO16:AO18"/>
    <mergeCell ref="AP16:AP18"/>
    <mergeCell ref="AQ16:AQ18"/>
    <mergeCell ref="AR16:AR18"/>
    <mergeCell ref="Q19:Q21"/>
    <mergeCell ref="P22:P24"/>
    <mergeCell ref="Q22:Q24"/>
    <mergeCell ref="U25:U27"/>
    <mergeCell ref="O28:O30"/>
    <mergeCell ref="R28:R30"/>
    <mergeCell ref="S28:S30"/>
    <mergeCell ref="T28:T30"/>
    <mergeCell ref="U28:U30"/>
    <mergeCell ref="AK13:AK15"/>
    <mergeCell ref="AL13:AL15"/>
    <mergeCell ref="AO13:AO15"/>
    <mergeCell ref="AK19:AK21"/>
    <mergeCell ref="AL19:AL21"/>
    <mergeCell ref="AO19:AO21"/>
    <mergeCell ref="AK25:AK27"/>
    <mergeCell ref="AL25:AL27"/>
    <mergeCell ref="T13:T15"/>
    <mergeCell ref="U13:U15"/>
    <mergeCell ref="T16:T18"/>
    <mergeCell ref="U16:U18"/>
    <mergeCell ref="T19:T21"/>
    <mergeCell ref="U19:U21"/>
    <mergeCell ref="T22:T24"/>
    <mergeCell ref="U22:U24"/>
    <mergeCell ref="T25:T27"/>
    <mergeCell ref="AO25:AO27"/>
    <mergeCell ref="BN13:BN15"/>
    <mergeCell ref="BG16:BG18"/>
    <mergeCell ref="BH16:BH18"/>
    <mergeCell ref="BK16:BK18"/>
    <mergeCell ref="BL16:BL18"/>
    <mergeCell ref="BM16:BM18"/>
    <mergeCell ref="BN16:BN18"/>
    <mergeCell ref="BG19:BG21"/>
    <mergeCell ref="BH19:BH21"/>
    <mergeCell ref="BG22:BG24"/>
    <mergeCell ref="BH22:BH24"/>
    <mergeCell ref="BK22:BK24"/>
    <mergeCell ref="N51:N53"/>
    <mergeCell ref="O51:O53"/>
    <mergeCell ref="R51:R53"/>
    <mergeCell ref="S51:S53"/>
    <mergeCell ref="T51:T53"/>
    <mergeCell ref="AO42:AO44"/>
    <mergeCell ref="AP42:AP44"/>
    <mergeCell ref="AQ42:AQ44"/>
    <mergeCell ref="AR42:AR44"/>
    <mergeCell ref="AK45:AK47"/>
    <mergeCell ref="AL45:AL47"/>
    <mergeCell ref="AO45:AO47"/>
    <mergeCell ref="AP45:AP47"/>
    <mergeCell ref="AQ45:AQ47"/>
    <mergeCell ref="AR45:AR47"/>
    <mergeCell ref="AO48:AO50"/>
    <mergeCell ref="P51:P53"/>
    <mergeCell ref="Q51:Q53"/>
    <mergeCell ref="AM51:AM53"/>
    <mergeCell ref="AN51:AN53"/>
    <mergeCell ref="AK51:AK53"/>
    <mergeCell ref="AQ51:AQ53"/>
    <mergeCell ref="AP25:AP27"/>
    <mergeCell ref="AQ25:AQ27"/>
    <mergeCell ref="AR25:AR27"/>
    <mergeCell ref="BS48:BS50"/>
    <mergeCell ref="BT48:BT50"/>
    <mergeCell ref="BU48:BU50"/>
    <mergeCell ref="AP54:AP56"/>
    <mergeCell ref="AQ54:AQ56"/>
    <mergeCell ref="AR54:AR56"/>
    <mergeCell ref="BU25:BU27"/>
    <mergeCell ref="BN54:BN56"/>
    <mergeCell ref="AK57:AK59"/>
    <mergeCell ref="N42:N44"/>
    <mergeCell ref="O42:O44"/>
    <mergeCell ref="R42:R44"/>
    <mergeCell ref="S42:S44"/>
    <mergeCell ref="T42:T44"/>
    <mergeCell ref="U42:U44"/>
    <mergeCell ref="N45:N47"/>
    <mergeCell ref="O45:O47"/>
    <mergeCell ref="R45:R47"/>
    <mergeCell ref="S45:S47"/>
    <mergeCell ref="T45:T47"/>
    <mergeCell ref="U45:U47"/>
    <mergeCell ref="N48:N50"/>
    <mergeCell ref="O48:O50"/>
    <mergeCell ref="R48:R50"/>
    <mergeCell ref="S48:S50"/>
    <mergeCell ref="T48:T50"/>
    <mergeCell ref="U57:U59"/>
    <mergeCell ref="AK42:AK44"/>
    <mergeCell ref="U48:U50"/>
    <mergeCell ref="U51:U53"/>
    <mergeCell ref="N54:N56"/>
    <mergeCell ref="O54:O56"/>
    <mergeCell ref="BU13:BU15"/>
    <mergeCell ref="BS25:BS27"/>
    <mergeCell ref="BT25:BT27"/>
    <mergeCell ref="BG25:BG27"/>
    <mergeCell ref="BT16:BT18"/>
    <mergeCell ref="BU16:BU18"/>
    <mergeCell ref="BS45:BS47"/>
    <mergeCell ref="BT45:BT47"/>
    <mergeCell ref="BU45:BU47"/>
    <mergeCell ref="BN25:BN27"/>
    <mergeCell ref="BG28:BG30"/>
    <mergeCell ref="BH28:BH30"/>
    <mergeCell ref="BK28:BK30"/>
    <mergeCell ref="BL28:BL30"/>
    <mergeCell ref="BM28:BM30"/>
    <mergeCell ref="BN28:BN30"/>
    <mergeCell ref="BL22:BL24"/>
    <mergeCell ref="BM22:BM24"/>
    <mergeCell ref="BN22:BN24"/>
    <mergeCell ref="BG13:BG15"/>
    <mergeCell ref="BH13:BH15"/>
    <mergeCell ref="BK13:BK15"/>
    <mergeCell ref="BL13:BL15"/>
    <mergeCell ref="BM13:BM15"/>
    <mergeCell ref="AO57:AO59"/>
    <mergeCell ref="AP57:AP59"/>
    <mergeCell ref="AQ57:AQ59"/>
    <mergeCell ref="AR57:AR59"/>
    <mergeCell ref="BG42:BG44"/>
    <mergeCell ref="BH42:BH44"/>
    <mergeCell ref="BK42:BK44"/>
    <mergeCell ref="BL42:BL44"/>
    <mergeCell ref="BG57:BG59"/>
    <mergeCell ref="BH57:BH59"/>
    <mergeCell ref="BK57:BK59"/>
    <mergeCell ref="BL57:BL59"/>
    <mergeCell ref="BG48:BG50"/>
    <mergeCell ref="BH48:BH50"/>
    <mergeCell ref="BK48:BK50"/>
    <mergeCell ref="BL48:BL50"/>
    <mergeCell ref="BH54:BH56"/>
    <mergeCell ref="BK54:BK56"/>
    <mergeCell ref="AR51:AR53"/>
    <mergeCell ref="BG54:BG56"/>
    <mergeCell ref="AP48:AP50"/>
    <mergeCell ref="AQ48:AQ50"/>
    <mergeCell ref="AR48:AR50"/>
    <mergeCell ref="AO54:AO56"/>
    <mergeCell ref="BV13:BV15"/>
    <mergeCell ref="BW13:BW15"/>
    <mergeCell ref="BX13:BX15"/>
    <mergeCell ref="CA13:CA15"/>
    <mergeCell ref="CB13:CB15"/>
    <mergeCell ref="CC13:CC15"/>
    <mergeCell ref="CD13:CD15"/>
    <mergeCell ref="BS22:BS24"/>
    <mergeCell ref="BT22:BT24"/>
    <mergeCell ref="BU22:BU24"/>
    <mergeCell ref="BV22:BV24"/>
    <mergeCell ref="BW22:BW24"/>
    <mergeCell ref="BX22:BX24"/>
    <mergeCell ref="BS13:BS15"/>
    <mergeCell ref="BT13:BT15"/>
    <mergeCell ref="CA16:CA18"/>
    <mergeCell ref="CB16:CB18"/>
    <mergeCell ref="CC16:CC18"/>
    <mergeCell ref="CD16:CD18"/>
    <mergeCell ref="BS19:BS21"/>
    <mergeCell ref="BT19:BT21"/>
    <mergeCell ref="BU19:BU21"/>
    <mergeCell ref="BV19:BV21"/>
    <mergeCell ref="BS16:BS18"/>
    <mergeCell ref="BV16:BV18"/>
    <mergeCell ref="BW16:BW18"/>
    <mergeCell ref="BX16:BX18"/>
    <mergeCell ref="BM48:BM50"/>
    <mergeCell ref="BN48:BN50"/>
    <mergeCell ref="BG51:BG53"/>
    <mergeCell ref="BH51:BH53"/>
    <mergeCell ref="BK51:BK53"/>
    <mergeCell ref="BL51:BL53"/>
    <mergeCell ref="BM51:BM53"/>
    <mergeCell ref="BN51:BN53"/>
    <mergeCell ref="BW19:BW21"/>
    <mergeCell ref="BM42:BM44"/>
    <mergeCell ref="BN42:BN44"/>
    <mergeCell ref="BG45:BG47"/>
    <mergeCell ref="BH45:BH47"/>
    <mergeCell ref="BK45:BK47"/>
    <mergeCell ref="BL45:BL47"/>
    <mergeCell ref="BM45:BM47"/>
    <mergeCell ref="BN45:BN47"/>
    <mergeCell ref="BH25:BH27"/>
    <mergeCell ref="BX19:BX21"/>
    <mergeCell ref="BV45:BV47"/>
    <mergeCell ref="BW45:BW47"/>
    <mergeCell ref="CI13:CI15"/>
    <mergeCell ref="CJ13:CJ15"/>
    <mergeCell ref="CK13:CK15"/>
    <mergeCell ref="CL13:CL15"/>
    <mergeCell ref="CM13:CM15"/>
    <mergeCell ref="CN13:CN15"/>
    <mergeCell ref="CK16:CK18"/>
    <mergeCell ref="CL16:CL18"/>
    <mergeCell ref="CF16:CF18"/>
    <mergeCell ref="CG16:CG18"/>
    <mergeCell ref="CH16:CH18"/>
    <mergeCell ref="CI16:CI18"/>
    <mergeCell ref="CJ16:CJ18"/>
    <mergeCell ref="CM16:CM18"/>
    <mergeCell ref="CN16:CN18"/>
    <mergeCell ref="CA19:CA21"/>
    <mergeCell ref="CB19:CB21"/>
    <mergeCell ref="CC19:CC21"/>
    <mergeCell ref="CD19:CD21"/>
    <mergeCell ref="CF19:CF21"/>
    <mergeCell ref="CG19:CG21"/>
    <mergeCell ref="CF13:CF15"/>
    <mergeCell ref="CG13:CG15"/>
    <mergeCell ref="CH13:CH15"/>
    <mergeCell ref="CJ25:CJ27"/>
    <mergeCell ref="CK25:CK27"/>
    <mergeCell ref="CL25:CL27"/>
    <mergeCell ref="CL19:CL21"/>
    <mergeCell ref="CM19:CM21"/>
    <mergeCell ref="CN19:CN21"/>
    <mergeCell ref="CH19:CH21"/>
    <mergeCell ref="CI19:CI21"/>
    <mergeCell ref="CJ19:CJ21"/>
    <mergeCell ref="CJ22:CJ24"/>
    <mergeCell ref="CK22:CK24"/>
    <mergeCell ref="CL22:CL24"/>
    <mergeCell ref="CM22:CM24"/>
    <mergeCell ref="CN22:CN24"/>
    <mergeCell ref="CK19:CK21"/>
    <mergeCell ref="CM25:CM27"/>
    <mergeCell ref="CN25:CN27"/>
    <mergeCell ref="CH25:CH27"/>
    <mergeCell ref="CI25:CI27"/>
    <mergeCell ref="BS39:BT39"/>
    <mergeCell ref="BU39:BV39"/>
    <mergeCell ref="BW39:BX39"/>
    <mergeCell ref="CD42:CD44"/>
    <mergeCell ref="CF42:CF44"/>
    <mergeCell ref="CG42:CG44"/>
    <mergeCell ref="CH42:CH44"/>
    <mergeCell ref="CI42:CI44"/>
    <mergeCell ref="CH22:CH24"/>
    <mergeCell ref="CI22:CI24"/>
    <mergeCell ref="CD25:CD27"/>
    <mergeCell ref="CG25:CG27"/>
    <mergeCell ref="CA22:CA24"/>
    <mergeCell ref="CB22:CB24"/>
    <mergeCell ref="CC22:CC24"/>
    <mergeCell ref="CD22:CD24"/>
    <mergeCell ref="CF22:CF24"/>
    <mergeCell ref="CG22:CG24"/>
    <mergeCell ref="CA28:CA30"/>
    <mergeCell ref="CF28:CF30"/>
    <mergeCell ref="CG28:CG30"/>
    <mergeCell ref="CF25:CF27"/>
    <mergeCell ref="CI28:CI30"/>
    <mergeCell ref="BV25:BV27"/>
    <mergeCell ref="BS42:BS44"/>
    <mergeCell ref="BT42:BT44"/>
    <mergeCell ref="BU42:BU44"/>
    <mergeCell ref="BV42:BV44"/>
    <mergeCell ref="BW42:BW44"/>
    <mergeCell ref="BX42:BX44"/>
    <mergeCell ref="CA42:CA44"/>
    <mergeCell ref="CB42:CB44"/>
    <mergeCell ref="CC42:CC44"/>
    <mergeCell ref="CF48:CF50"/>
    <mergeCell ref="CG48:CG50"/>
    <mergeCell ref="CH48:CH50"/>
    <mergeCell ref="CK42:CK44"/>
    <mergeCell ref="CL39:CN39"/>
    <mergeCell ref="CF39:CH39"/>
    <mergeCell ref="CI39:CK39"/>
    <mergeCell ref="CL42:CL44"/>
    <mergeCell ref="CM42:CM44"/>
    <mergeCell ref="CN42:CN44"/>
    <mergeCell ref="CL45:CL47"/>
    <mergeCell ref="CM45:CM47"/>
    <mergeCell ref="CN45:CN47"/>
    <mergeCell ref="CK48:CK50"/>
    <mergeCell ref="CL48:CL50"/>
    <mergeCell ref="CM48:CM50"/>
    <mergeCell ref="CN48:CN50"/>
    <mergeCell ref="CF45:CF47"/>
    <mergeCell ref="CG45:CG47"/>
    <mergeCell ref="CH45:CH47"/>
    <mergeCell ref="CI45:CI47"/>
    <mergeCell ref="CJ42:CJ44"/>
    <mergeCell ref="BV48:BV50"/>
    <mergeCell ref="BW48:BW50"/>
    <mergeCell ref="BX48:BX50"/>
    <mergeCell ref="BZ51:BZ53"/>
    <mergeCell ref="BZ54:BZ56"/>
    <mergeCell ref="BZ57:BZ59"/>
    <mergeCell ref="BZ13:BZ15"/>
    <mergeCell ref="BZ16:BZ18"/>
    <mergeCell ref="BZ19:BZ21"/>
    <mergeCell ref="BZ22:BZ24"/>
    <mergeCell ref="BZ25:BZ27"/>
    <mergeCell ref="BZ28:BZ30"/>
    <mergeCell ref="BZ42:BZ44"/>
    <mergeCell ref="BZ45:BZ47"/>
    <mergeCell ref="BZ48:BZ50"/>
    <mergeCell ref="CI48:CI50"/>
    <mergeCell ref="CJ48:CJ50"/>
    <mergeCell ref="BX45:BX47"/>
    <mergeCell ref="CA45:CA47"/>
    <mergeCell ref="CA48:CA50"/>
    <mergeCell ref="CB48:CB50"/>
    <mergeCell ref="CC48:CC50"/>
    <mergeCell ref="CD48:CD50"/>
  </mergeCells>
  <phoneticPr fontId="14" type="noConversion"/>
  <conditionalFormatting sqref="F13:F3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2:F5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3:AB3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42:AB5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13:AY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31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Y42:AY5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F6B0-9E5B-4420-A744-517048D3BE39}">
  <dimension ref="C2:X62"/>
  <sheetViews>
    <sheetView topLeftCell="A21" workbookViewId="0">
      <selection activeCell="I36" sqref="I36"/>
    </sheetView>
  </sheetViews>
  <sheetFormatPr defaultRowHeight="15"/>
  <cols>
    <col min="3" max="3" width="11.28515625" customWidth="1"/>
    <col min="4" max="4" width="20.5703125" customWidth="1"/>
    <col min="7" max="7" width="9" bestFit="1" customWidth="1"/>
    <col min="9" max="9" width="15.85546875" customWidth="1"/>
    <col min="10" max="10" width="16.7109375" customWidth="1"/>
    <col min="11" max="11" width="22" customWidth="1"/>
    <col min="24" max="24" width="9.5703125" bestFit="1" customWidth="1"/>
  </cols>
  <sheetData>
    <row r="2" spans="3:24" ht="26.25" customHeight="1">
      <c r="C2" s="77" t="s">
        <v>3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27"/>
    </row>
    <row r="3" spans="3:24" ht="26.25" customHeight="1"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27"/>
    </row>
    <row r="4" spans="3:24">
      <c r="T4" s="7"/>
      <c r="U4" s="7"/>
      <c r="V4" s="7"/>
      <c r="W4" s="7"/>
      <c r="X4" s="7"/>
    </row>
    <row r="5" spans="3:24">
      <c r="T5" s="7"/>
      <c r="U5" s="7"/>
      <c r="V5" s="7"/>
      <c r="W5" s="7"/>
      <c r="X5" s="7"/>
    </row>
    <row r="6" spans="3:24">
      <c r="T6" s="7"/>
      <c r="U6" s="7"/>
      <c r="V6" s="7"/>
      <c r="W6" s="7"/>
      <c r="X6" s="7"/>
    </row>
    <row r="7" spans="3:24">
      <c r="T7" s="7"/>
      <c r="U7" s="7"/>
      <c r="V7" s="7"/>
      <c r="W7" s="7"/>
      <c r="X7" s="7"/>
    </row>
    <row r="8" spans="3:24">
      <c r="T8" s="7"/>
      <c r="U8" s="7"/>
      <c r="V8" s="7"/>
      <c r="W8" s="7"/>
      <c r="X8" s="7"/>
    </row>
    <row r="9" spans="3:24">
      <c r="C9" s="7"/>
      <c r="D9" s="53"/>
      <c r="I9" s="78" t="s">
        <v>54</v>
      </c>
      <c r="J9" s="78"/>
      <c r="K9" s="78"/>
      <c r="T9" s="7"/>
      <c r="U9" s="7">
        <f>AVERAGE(U13:U27,U37:U54)</f>
        <v>0.15019215373677008</v>
      </c>
      <c r="V9" s="7"/>
      <c r="W9" s="7"/>
      <c r="X9" s="7"/>
    </row>
    <row r="10" spans="3:24" ht="21">
      <c r="C10" s="1" t="s">
        <v>55</v>
      </c>
      <c r="E10" s="3"/>
      <c r="F10" s="1"/>
      <c r="G10" s="3"/>
      <c r="H10" s="3"/>
      <c r="I10" s="3"/>
      <c r="J10" s="3"/>
      <c r="K10" s="3"/>
      <c r="L10" s="2"/>
      <c r="M10" s="3"/>
      <c r="N10" s="3"/>
      <c r="O10" s="3"/>
    </row>
    <row r="11" spans="3:24" ht="45">
      <c r="C11" s="13" t="s">
        <v>14</v>
      </c>
      <c r="D11" s="13" t="s">
        <v>15</v>
      </c>
      <c r="E11" s="8" t="s">
        <v>16</v>
      </c>
      <c r="F11" s="14" t="s">
        <v>17</v>
      </c>
      <c r="G11" s="14" t="s">
        <v>18</v>
      </c>
      <c r="H11" s="14" t="s">
        <v>19</v>
      </c>
      <c r="I11" s="14" t="s">
        <v>20</v>
      </c>
      <c r="J11" s="14" t="s">
        <v>34</v>
      </c>
      <c r="K11" s="55" t="s">
        <v>21</v>
      </c>
      <c r="L11" s="14" t="s">
        <v>22</v>
      </c>
      <c r="M11" s="14" t="s">
        <v>23</v>
      </c>
      <c r="N11" s="4" t="s">
        <v>24</v>
      </c>
      <c r="O11" s="34" t="s">
        <v>25</v>
      </c>
      <c r="P11" s="34" t="s">
        <v>26</v>
      </c>
      <c r="Q11" s="34" t="s">
        <v>27</v>
      </c>
      <c r="R11" s="34" t="s">
        <v>28</v>
      </c>
      <c r="S11" s="34" t="s">
        <v>29</v>
      </c>
      <c r="T11" s="34" t="s">
        <v>30</v>
      </c>
      <c r="U11" s="34" t="s">
        <v>31</v>
      </c>
      <c r="V11" s="34" t="s">
        <v>32</v>
      </c>
      <c r="X11" s="34" t="s">
        <v>33</v>
      </c>
    </row>
    <row r="12" spans="3:24">
      <c r="C12" s="51" t="s">
        <v>45</v>
      </c>
      <c r="D12" s="15" t="s">
        <v>45</v>
      </c>
      <c r="E12" s="16" t="s">
        <v>45</v>
      </c>
      <c r="F12" s="17" t="s">
        <v>46</v>
      </c>
      <c r="G12" s="17" t="s">
        <v>47</v>
      </c>
      <c r="H12" s="17" t="s">
        <v>48</v>
      </c>
      <c r="I12" s="17" t="s">
        <v>49</v>
      </c>
      <c r="J12" s="17" t="s">
        <v>51</v>
      </c>
      <c r="K12" s="56" t="s">
        <v>45</v>
      </c>
      <c r="L12" s="17" t="s">
        <v>46</v>
      </c>
      <c r="M12" s="17" t="s">
        <v>50</v>
      </c>
      <c r="N12" s="5" t="s">
        <v>50</v>
      </c>
      <c r="O12" s="35" t="s">
        <v>50</v>
      </c>
      <c r="P12" s="36"/>
      <c r="Q12" s="36"/>
      <c r="R12" s="36"/>
      <c r="S12" s="37" t="s">
        <v>50</v>
      </c>
      <c r="T12" s="22" t="s">
        <v>50</v>
      </c>
      <c r="U12" s="22" t="s">
        <v>50</v>
      </c>
      <c r="V12" s="22" t="s">
        <v>46</v>
      </c>
      <c r="X12" s="22" t="s">
        <v>45</v>
      </c>
    </row>
    <row r="13" spans="3:24">
      <c r="C13" s="10" t="s">
        <v>56</v>
      </c>
      <c r="D13" s="62">
        <v>45727</v>
      </c>
      <c r="E13" s="9"/>
      <c r="F13" s="47">
        <v>401.06932959997386</v>
      </c>
      <c r="G13" s="64">
        <v>31.058711189270021</v>
      </c>
      <c r="H13" s="65">
        <v>20.510520935058594</v>
      </c>
      <c r="I13" s="66">
        <v>22.101902650500001</v>
      </c>
      <c r="J13" s="61">
        <v>1.1606521536600001E-5</v>
      </c>
      <c r="K13" s="61">
        <f>4*I13*(L13/3600)/(0.1016*PI()*J13)</f>
        <v>2669933.6645024978</v>
      </c>
      <c r="L13" s="65">
        <v>402.77173079871227</v>
      </c>
      <c r="M13" s="48">
        <f t="shared" ref="M13:M33" si="0">(L13-F13)/F13*100</f>
        <v>0.42446556570067018</v>
      </c>
      <c r="N13" s="6">
        <v>0.15</v>
      </c>
      <c r="O13" s="76">
        <f>AVERAGE(M13:M15)</f>
        <v>0.42825366185857977</v>
      </c>
      <c r="P13" s="68">
        <f>STDEV(M13:M15)</f>
        <v>3.3128154125466984E-3</v>
      </c>
      <c r="Q13" s="68">
        <f>COUNT(N13:N15)</f>
        <v>3</v>
      </c>
      <c r="R13" s="67">
        <f>TINV(0.05,Q13-1)</f>
        <v>4.3026527297494637</v>
      </c>
      <c r="S13" s="67">
        <f>P13*R13/SQRT(Q13)</f>
        <v>8.2294896983749841E-3</v>
      </c>
      <c r="T13" s="68">
        <f>AVERAGE(N13:N15)</f>
        <v>0.15</v>
      </c>
      <c r="U13" s="68">
        <f>SQRT(S13^2+T13^2)</f>
        <v>0.15022557871646114</v>
      </c>
      <c r="V13" s="70">
        <f>AVERAGE(F13:F15)</f>
        <v>401.16868699562218</v>
      </c>
      <c r="X13" s="80">
        <f>AVERAGE(K13:K15)</f>
        <v>2666950.4797925525</v>
      </c>
    </row>
    <row r="14" spans="3:24">
      <c r="C14" s="10" t="s">
        <v>56</v>
      </c>
      <c r="D14" s="62">
        <v>45727</v>
      </c>
      <c r="E14" s="9"/>
      <c r="F14" s="47">
        <v>401.18586166612943</v>
      </c>
      <c r="G14" s="64">
        <v>31.076647897720338</v>
      </c>
      <c r="H14" s="65">
        <v>20.724373340606689</v>
      </c>
      <c r="I14" s="66">
        <v>22.0825562375</v>
      </c>
      <c r="J14" s="61">
        <v>1.16131915066E-5</v>
      </c>
      <c r="K14" s="61">
        <f t="shared" ref="K14:K33" si="1">4*I14*(L14/3600)/(0.1016*PI()*J14)</f>
        <v>2666977.7641329868</v>
      </c>
      <c r="L14" s="65">
        <v>402.90970412386935</v>
      </c>
      <c r="M14" s="48">
        <f t="shared" si="0"/>
        <v>0.42968674184598199</v>
      </c>
      <c r="N14" s="6">
        <v>0.15</v>
      </c>
      <c r="O14" s="76"/>
      <c r="P14" s="68"/>
      <c r="Q14" s="68"/>
      <c r="R14" s="67"/>
      <c r="S14" s="67"/>
      <c r="T14" s="68"/>
      <c r="U14" s="68"/>
      <c r="V14" s="70"/>
      <c r="X14" s="80"/>
    </row>
    <row r="15" spans="3:24">
      <c r="C15" s="10" t="s">
        <v>56</v>
      </c>
      <c r="D15" s="62">
        <v>45727</v>
      </c>
      <c r="E15" s="9"/>
      <c r="F15" s="47">
        <v>401.25086972076315</v>
      </c>
      <c r="G15" s="64">
        <v>31.106031549453736</v>
      </c>
      <c r="H15" s="65">
        <v>20.906451225280762</v>
      </c>
      <c r="I15" s="66">
        <v>22.065086189100001</v>
      </c>
      <c r="J15" s="61">
        <v>1.16192254628E-5</v>
      </c>
      <c r="K15" s="61">
        <f t="shared" si="1"/>
        <v>2663940.0107421726</v>
      </c>
      <c r="L15" s="65">
        <v>402.97869078644794</v>
      </c>
      <c r="M15" s="48">
        <f t="shared" si="0"/>
        <v>0.43060867802908726</v>
      </c>
      <c r="N15" s="6">
        <v>0.15</v>
      </c>
      <c r="O15" s="76"/>
      <c r="P15" s="68"/>
      <c r="Q15" s="68"/>
      <c r="R15" s="67"/>
      <c r="S15" s="67"/>
      <c r="T15" s="68"/>
      <c r="U15" s="68"/>
      <c r="V15" s="70"/>
      <c r="X15" s="80"/>
    </row>
    <row r="16" spans="3:24">
      <c r="C16" s="10" t="s">
        <v>56</v>
      </c>
      <c r="D16" s="62">
        <v>45727</v>
      </c>
      <c r="E16" s="9"/>
      <c r="F16" s="47">
        <v>320.64329228746385</v>
      </c>
      <c r="G16" s="64">
        <v>31.141069869995118</v>
      </c>
      <c r="H16" s="65">
        <v>20.938036918640137</v>
      </c>
      <c r="I16" s="66">
        <v>22.062330693</v>
      </c>
      <c r="J16" s="61">
        <v>1.1620178125099999E-5</v>
      </c>
      <c r="K16" s="61">
        <f t="shared" si="1"/>
        <v>2127555.9950466757</v>
      </c>
      <c r="L16" s="65">
        <v>321.90556492411469</v>
      </c>
      <c r="M16" s="48">
        <f t="shared" si="0"/>
        <v>0.39366881110962987</v>
      </c>
      <c r="N16" s="6">
        <v>0.15</v>
      </c>
      <c r="O16" s="76">
        <f t="shared" ref="O16" si="2">AVERAGE(M16:M18)</f>
        <v>0.38979254691660808</v>
      </c>
      <c r="P16" s="68">
        <f t="shared" ref="P16" si="3">STDEV(M16:M18)</f>
        <v>3.5532042819004768E-3</v>
      </c>
      <c r="Q16" s="68">
        <f t="shared" ref="Q16" si="4">COUNT(N16:N18)</f>
        <v>3</v>
      </c>
      <c r="R16" s="67">
        <f t="shared" ref="R16" si="5">TINV(0.05,Q16-1)</f>
        <v>4.3026527297494637</v>
      </c>
      <c r="S16" s="67">
        <f t="shared" ref="S16" si="6">P16*R16/SQRT(Q16)</f>
        <v>8.8266487542217296E-3</v>
      </c>
      <c r="T16" s="68">
        <f t="shared" ref="T16" si="7">AVERAGE(N16:N18)</f>
        <v>0.15</v>
      </c>
      <c r="U16" s="68">
        <f t="shared" ref="U16" si="8">SQRT(S16^2+T16^2)</f>
        <v>0.15025947467041939</v>
      </c>
      <c r="V16" s="70">
        <f>AVERAGE(F16:F18)</f>
        <v>320.657964027925</v>
      </c>
      <c r="X16" s="80">
        <f t="shared" ref="X16" si="9">AVERAGE(K16:K18)</f>
        <v>2127082.3501246679</v>
      </c>
    </row>
    <row r="17" spans="3:24">
      <c r="C17" s="10" t="s">
        <v>56</v>
      </c>
      <c r="D17" s="62">
        <v>45727</v>
      </c>
      <c r="E17" s="9"/>
      <c r="F17" s="47">
        <v>320.67932781926601</v>
      </c>
      <c r="G17" s="64">
        <v>31.143645697593691</v>
      </c>
      <c r="H17" s="65">
        <v>20.972643852233887</v>
      </c>
      <c r="I17" s="66">
        <v>22.059575995599999</v>
      </c>
      <c r="J17" s="61">
        <v>1.16211307688E-5</v>
      </c>
      <c r="K17" s="61">
        <f t="shared" si="1"/>
        <v>2127207.1352355634</v>
      </c>
      <c r="L17" s="65">
        <v>321.91936225663039</v>
      </c>
      <c r="M17" s="48">
        <f t="shared" si="0"/>
        <v>0.38668985799523259</v>
      </c>
      <c r="N17" s="6">
        <v>0.15</v>
      </c>
      <c r="O17" s="76"/>
      <c r="P17" s="68"/>
      <c r="Q17" s="68"/>
      <c r="R17" s="67"/>
      <c r="S17" s="67"/>
      <c r="T17" s="68"/>
      <c r="U17" s="68"/>
      <c r="V17" s="70"/>
      <c r="X17" s="80"/>
    </row>
    <row r="18" spans="3:24">
      <c r="C18" s="10" t="s">
        <v>56</v>
      </c>
      <c r="D18" s="62">
        <v>45727</v>
      </c>
      <c r="E18" s="9"/>
      <c r="F18" s="47">
        <v>320.65127197704521</v>
      </c>
      <c r="G18" s="64">
        <v>31.143794505119324</v>
      </c>
      <c r="H18" s="65">
        <v>21.00514030456543</v>
      </c>
      <c r="I18" s="66">
        <v>22.055904307500001</v>
      </c>
      <c r="J18" s="61">
        <v>1.16224009317E-5</v>
      </c>
      <c r="K18" s="61">
        <f t="shared" si="1"/>
        <v>2126483.9200917645</v>
      </c>
      <c r="L18" s="65">
        <v>321.8986662578568</v>
      </c>
      <c r="M18" s="48">
        <f t="shared" si="0"/>
        <v>0.38901897164496174</v>
      </c>
      <c r="N18" s="6">
        <v>0.15</v>
      </c>
      <c r="O18" s="76"/>
      <c r="P18" s="68"/>
      <c r="Q18" s="68"/>
      <c r="R18" s="67"/>
      <c r="S18" s="67"/>
      <c r="T18" s="68"/>
      <c r="U18" s="68"/>
      <c r="V18" s="70"/>
      <c r="X18" s="80"/>
    </row>
    <row r="19" spans="3:24">
      <c r="C19" s="10" t="s">
        <v>56</v>
      </c>
      <c r="D19" s="62">
        <v>45727</v>
      </c>
      <c r="E19" s="9"/>
      <c r="F19" s="47">
        <v>280.5467358648375</v>
      </c>
      <c r="G19" s="64">
        <v>31.158696083068847</v>
      </c>
      <c r="H19" s="65">
        <v>21.064554691314697</v>
      </c>
      <c r="I19" s="66">
        <v>22.126224115199999</v>
      </c>
      <c r="J19" s="61">
        <v>1.16262008833E-5</v>
      </c>
      <c r="K19" s="61">
        <f t="shared" si="1"/>
        <v>1865024.5461956058</v>
      </c>
      <c r="L19" s="65">
        <v>281.51475199643221</v>
      </c>
      <c r="M19" s="48">
        <f t="shared" si="0"/>
        <v>0.34504629990101976</v>
      </c>
      <c r="N19" s="6">
        <v>0.15</v>
      </c>
      <c r="O19" s="76">
        <f t="shared" ref="O19" si="10">AVERAGE(M19:M21)</f>
        <v>0.34899378566288536</v>
      </c>
      <c r="P19" s="68">
        <f t="shared" ref="P19" si="11">STDEV(M19:M21)</f>
        <v>3.66065684273356E-3</v>
      </c>
      <c r="Q19" s="68">
        <f t="shared" ref="Q19" si="12">COUNT(N19:N21)</f>
        <v>3</v>
      </c>
      <c r="R19" s="67">
        <f t="shared" ref="R19" si="13">TINV(0.05,Q19-1)</f>
        <v>4.3026527297494637</v>
      </c>
      <c r="S19" s="67">
        <f t="shared" ref="S19" si="14">P19*R19/SQRT(Q19)</f>
        <v>9.0935757128113373E-3</v>
      </c>
      <c r="T19" s="68">
        <f t="shared" ref="T19" si="15">AVERAGE(N19:N21)</f>
        <v>0.15</v>
      </c>
      <c r="U19" s="68">
        <f t="shared" ref="U19" si="16">SQRT(S19^2+T19^2)</f>
        <v>0.15027539093026721</v>
      </c>
      <c r="V19" s="70">
        <f>AVERAGE(F19:F21)</f>
        <v>280.52803391215127</v>
      </c>
      <c r="X19" s="80">
        <f t="shared" ref="X19" si="17">AVERAGE(K19:K21)</f>
        <v>1864673.7063276784</v>
      </c>
    </row>
    <row r="20" spans="3:24">
      <c r="C20" s="10" t="s">
        <v>56</v>
      </c>
      <c r="D20" s="62">
        <v>45727</v>
      </c>
      <c r="E20" s="9"/>
      <c r="F20" s="47">
        <v>280.51984219152615</v>
      </c>
      <c r="G20" s="64">
        <v>31.158619266510009</v>
      </c>
      <c r="H20" s="65">
        <v>21.085344314575195</v>
      </c>
      <c r="I20" s="66">
        <v>22.123461489299999</v>
      </c>
      <c r="J20" s="61">
        <v>1.1627153091400001E-5</v>
      </c>
      <c r="K20" s="61">
        <f t="shared" si="1"/>
        <v>1864545.9168154837</v>
      </c>
      <c r="L20" s="65">
        <v>281.50070380332528</v>
      </c>
      <c r="M20" s="48">
        <f t="shared" si="0"/>
        <v>0.34965854968984345</v>
      </c>
      <c r="N20" s="6">
        <v>0.15</v>
      </c>
      <c r="O20" s="76"/>
      <c r="P20" s="68"/>
      <c r="Q20" s="68"/>
      <c r="R20" s="67"/>
      <c r="S20" s="67"/>
      <c r="T20" s="68"/>
      <c r="U20" s="68"/>
      <c r="V20" s="70"/>
      <c r="X20" s="80"/>
    </row>
    <row r="21" spans="3:24">
      <c r="C21" s="10" t="s">
        <v>56</v>
      </c>
      <c r="D21" s="62">
        <v>45727</v>
      </c>
      <c r="E21" s="9"/>
      <c r="F21" s="47">
        <v>280.51752368009022</v>
      </c>
      <c r="G21" s="64">
        <v>31.158840613365172</v>
      </c>
      <c r="H21" s="65">
        <v>21.101396083831787</v>
      </c>
      <c r="I21" s="66">
        <v>22.122540791999999</v>
      </c>
      <c r="J21" s="61">
        <v>1.162747049E-5</v>
      </c>
      <c r="K21" s="61">
        <f t="shared" si="1"/>
        <v>1864450.6559719453</v>
      </c>
      <c r="L21" s="65">
        <v>281.50572101514922</v>
      </c>
      <c r="M21" s="48">
        <f t="shared" si="0"/>
        <v>0.35227650739779298</v>
      </c>
      <c r="N21" s="6">
        <v>0.15</v>
      </c>
      <c r="O21" s="76"/>
      <c r="P21" s="68"/>
      <c r="Q21" s="68"/>
      <c r="R21" s="67"/>
      <c r="S21" s="67"/>
      <c r="T21" s="68"/>
      <c r="U21" s="68"/>
      <c r="V21" s="70"/>
      <c r="X21" s="80"/>
    </row>
    <row r="22" spans="3:24">
      <c r="C22" s="10" t="s">
        <v>56</v>
      </c>
      <c r="D22" s="62">
        <v>45727</v>
      </c>
      <c r="E22" s="9"/>
      <c r="F22" s="47">
        <v>160.12333734100753</v>
      </c>
      <c r="G22" s="64">
        <v>31.157224225759506</v>
      </c>
      <c r="H22" s="65">
        <v>20.882839679718018</v>
      </c>
      <c r="I22" s="66">
        <v>22.142816709600002</v>
      </c>
      <c r="J22" s="61">
        <v>1.16204872495E-5</v>
      </c>
      <c r="K22" s="61">
        <f t="shared" si="1"/>
        <v>1065178.9478085847</v>
      </c>
      <c r="L22" s="65">
        <v>160.58321105538644</v>
      </c>
      <c r="M22" s="48">
        <f t="shared" si="0"/>
        <v>0.28719968120545891</v>
      </c>
      <c r="N22" s="6">
        <v>0.15</v>
      </c>
      <c r="O22" s="76">
        <f t="shared" ref="O22" si="18">AVERAGE(M22:M24)</f>
        <v>0.28651018450171861</v>
      </c>
      <c r="P22" s="68">
        <f t="shared" ref="P22" si="19">STDEV(M22:M24)</f>
        <v>6.5199840062080919E-4</v>
      </c>
      <c r="Q22" s="68">
        <f t="shared" ref="Q22" si="20">COUNT(N22:N24)</f>
        <v>3</v>
      </c>
      <c r="R22" s="67">
        <f t="shared" ref="R22" si="21">TINV(0.05,Q22-1)</f>
        <v>4.3026527297494637</v>
      </c>
      <c r="S22" s="67">
        <f t="shared" ref="S22" si="22">P22*R22/SQRT(Q22)</f>
        <v>1.6196538149830526E-3</v>
      </c>
      <c r="T22" s="68">
        <f t="shared" ref="T22" si="23">AVERAGE(N22:N24)</f>
        <v>0.15</v>
      </c>
      <c r="U22" s="68">
        <f t="shared" ref="U22" si="24">SQRT(S22^2+T22^2)</f>
        <v>0.15000874400674244</v>
      </c>
      <c r="V22" s="70">
        <f>AVERAGE(F22:F24)</f>
        <v>160.12509338266568</v>
      </c>
      <c r="X22" s="80">
        <f t="shared" ref="X22" si="25">AVERAGE(K22:K24)</f>
        <v>1064146.3766690276</v>
      </c>
    </row>
    <row r="23" spans="3:24">
      <c r="C23" s="10" t="s">
        <v>56</v>
      </c>
      <c r="D23" s="62">
        <v>45727</v>
      </c>
      <c r="E23" s="9"/>
      <c r="F23" s="47">
        <v>160.12933757739086</v>
      </c>
      <c r="G23" s="64">
        <v>31.155649260044097</v>
      </c>
      <c r="H23" s="65">
        <v>20.864053249359131</v>
      </c>
      <c r="I23" s="66">
        <v>22.144662115300001</v>
      </c>
      <c r="J23" s="61">
        <v>1.16198523606E-5</v>
      </c>
      <c r="K23" s="61">
        <f t="shared" si="1"/>
        <v>1065352.07762887</v>
      </c>
      <c r="L23" s="65">
        <v>160.58715315039092</v>
      </c>
      <c r="M23" s="48">
        <f t="shared" si="0"/>
        <v>0.28590362011508258</v>
      </c>
      <c r="N23" s="6">
        <v>0.15</v>
      </c>
      <c r="O23" s="76"/>
      <c r="P23" s="68"/>
      <c r="Q23" s="68"/>
      <c r="R23" s="67"/>
      <c r="S23" s="67"/>
      <c r="T23" s="68"/>
      <c r="U23" s="68"/>
      <c r="V23" s="70"/>
      <c r="X23" s="80"/>
    </row>
    <row r="24" spans="3:24">
      <c r="C24" s="10" t="s">
        <v>56</v>
      </c>
      <c r="D24" s="62">
        <v>45727</v>
      </c>
      <c r="E24" s="9"/>
      <c r="F24" s="47">
        <v>160.12260522959866</v>
      </c>
      <c r="G24" s="64">
        <v>31.149101347446443</v>
      </c>
      <c r="H24" s="65">
        <v>20.855437755584717</v>
      </c>
      <c r="I24" s="66">
        <v>22.069680458600001</v>
      </c>
      <c r="J24" s="61">
        <v>1.16176376514E-5</v>
      </c>
      <c r="K24" s="61">
        <f t="shared" si="1"/>
        <v>1061908.1045696281</v>
      </c>
      <c r="L24" s="65">
        <v>160.58124000788422</v>
      </c>
      <c r="M24" s="48">
        <f t="shared" si="0"/>
        <v>0.28642725218461423</v>
      </c>
      <c r="N24" s="6">
        <v>0.15</v>
      </c>
      <c r="O24" s="76"/>
      <c r="P24" s="68"/>
      <c r="Q24" s="68"/>
      <c r="R24" s="67"/>
      <c r="S24" s="67"/>
      <c r="T24" s="68"/>
      <c r="U24" s="68"/>
      <c r="V24" s="70"/>
      <c r="X24" s="80"/>
    </row>
    <row r="25" spans="3:24">
      <c r="C25" s="10" t="s">
        <v>56</v>
      </c>
      <c r="D25" s="62">
        <v>45727</v>
      </c>
      <c r="E25" s="9"/>
      <c r="F25" s="47">
        <v>80.030586006776474</v>
      </c>
      <c r="G25" s="64">
        <v>31.149825974375009</v>
      </c>
      <c r="H25" s="65">
        <v>20.755436420440674</v>
      </c>
      <c r="I25" s="66">
        <v>22.078875664000002</v>
      </c>
      <c r="J25" s="61">
        <v>1.16144618747E-5</v>
      </c>
      <c r="K25" s="61">
        <f t="shared" si="1"/>
        <v>530526.40274854982</v>
      </c>
      <c r="L25" s="65">
        <v>80.170617994246598</v>
      </c>
      <c r="M25" s="48">
        <f t="shared" si="0"/>
        <v>0.17497308773706458</v>
      </c>
      <c r="N25" s="6">
        <v>0.15</v>
      </c>
      <c r="O25" s="76">
        <f>AVERAGE(M25:M27)</f>
        <v>0.17438940476050149</v>
      </c>
      <c r="P25" s="68">
        <f t="shared" ref="P25" si="26">STDEV(M25:M27)</f>
        <v>7.0820065136871252E-4</v>
      </c>
      <c r="Q25" s="68">
        <f t="shared" ref="Q25" si="27">COUNT(N25:N27)</f>
        <v>3</v>
      </c>
      <c r="R25" s="67">
        <f t="shared" ref="R25" si="28">TINV(0.05,Q25-1)</f>
        <v>4.3026527297494637</v>
      </c>
      <c r="S25" s="67">
        <f t="shared" ref="S25" si="29">P25*R25/SQRT(Q25)</f>
        <v>1.7592679455511677E-3</v>
      </c>
      <c r="T25" s="68">
        <f t="shared" ref="T25" si="30">AVERAGE(N25:N27)</f>
        <v>0.15</v>
      </c>
      <c r="U25" s="68">
        <f t="shared" ref="U25" si="31">SQRT(S25^2+T25^2)</f>
        <v>0.15001031639092108</v>
      </c>
      <c r="V25" s="70">
        <f>AVERAGE(F25:F27)</f>
        <v>80.031052321151492</v>
      </c>
      <c r="X25" s="80">
        <f t="shared" ref="X25" si="32">AVERAGE(K25:K27)</f>
        <v>531166.7838418755</v>
      </c>
    </row>
    <row r="26" spans="3:24">
      <c r="C26" s="10" t="s">
        <v>56</v>
      </c>
      <c r="D26" s="62">
        <v>45727</v>
      </c>
      <c r="E26" s="9"/>
      <c r="F26" s="47">
        <v>80.030889198716196</v>
      </c>
      <c r="G26" s="64">
        <v>31.152080494880675</v>
      </c>
      <c r="H26" s="65">
        <v>20.732010364532471</v>
      </c>
      <c r="I26" s="66">
        <v>22.156665965799998</v>
      </c>
      <c r="J26" s="61">
        <v>1.1615725383999999E-5</v>
      </c>
      <c r="K26" s="61">
        <f t="shared" si="1"/>
        <v>532337.68986415467</v>
      </c>
      <c r="L26" s="65">
        <v>80.170617994246598</v>
      </c>
      <c r="M26" s="48">
        <f t="shared" si="0"/>
        <v>0.17459358121519375</v>
      </c>
      <c r="N26" s="6">
        <v>0.15</v>
      </c>
      <c r="O26" s="76"/>
      <c r="P26" s="68"/>
      <c r="Q26" s="68"/>
      <c r="R26" s="67"/>
      <c r="S26" s="67"/>
      <c r="T26" s="68"/>
      <c r="U26" s="68"/>
      <c r="V26" s="70"/>
      <c r="X26" s="80"/>
    </row>
    <row r="27" spans="3:24">
      <c r="C27" s="10" t="s">
        <v>56</v>
      </c>
      <c r="D27" s="62">
        <v>45727</v>
      </c>
      <c r="E27" s="9"/>
      <c r="F27" s="47">
        <v>80.031681757961792</v>
      </c>
      <c r="G27" s="64">
        <v>31.145903831005096</v>
      </c>
      <c r="H27" s="65">
        <v>20.726490497589111</v>
      </c>
      <c r="I27" s="66">
        <v>22.0816359606</v>
      </c>
      <c r="J27" s="61">
        <v>1.16135091017E-5</v>
      </c>
      <c r="K27" s="61">
        <f t="shared" si="1"/>
        <v>530636.258912922</v>
      </c>
      <c r="L27" s="65">
        <v>80.170617994246598</v>
      </c>
      <c r="M27" s="48">
        <f t="shared" si="0"/>
        <v>0.17360154532924621</v>
      </c>
      <c r="N27" s="6">
        <v>0.15</v>
      </c>
      <c r="O27" s="76"/>
      <c r="P27" s="68"/>
      <c r="Q27" s="68"/>
      <c r="R27" s="67"/>
      <c r="S27" s="67"/>
      <c r="T27" s="68"/>
      <c r="U27" s="68"/>
      <c r="V27" s="70"/>
      <c r="X27" s="80"/>
    </row>
    <row r="28" spans="3:24">
      <c r="C28" s="10" t="s">
        <v>56</v>
      </c>
      <c r="D28" s="62">
        <v>45727</v>
      </c>
      <c r="E28" s="9"/>
      <c r="F28" s="47">
        <v>40.010625068317566</v>
      </c>
      <c r="G28" s="64">
        <v>31.129058709690348</v>
      </c>
      <c r="H28" s="63">
        <v>20.687697887420654</v>
      </c>
      <c r="I28" s="66">
        <v>22.0853176028</v>
      </c>
      <c r="J28" s="61">
        <v>1.1612238709E-5</v>
      </c>
      <c r="K28" s="61">
        <f t="shared" si="1"/>
        <v>264948.3909647644</v>
      </c>
      <c r="L28" s="65">
        <v>40.018396443354284</v>
      </c>
      <c r="M28" s="48">
        <f t="shared" si="0"/>
        <v>1.9423278250336223E-2</v>
      </c>
      <c r="N28" s="6">
        <v>0.15</v>
      </c>
      <c r="O28" s="76">
        <f>AVERAGE(M28:M30)</f>
        <v>2.0049769130124212E-2</v>
      </c>
      <c r="P28" s="68">
        <f t="shared" ref="P28" si="33">STDEV(M28:M30)</f>
        <v>4.3534788596124715E-3</v>
      </c>
      <c r="Q28" s="68">
        <f t="shared" ref="Q28" si="34">COUNT(N28:N30)</f>
        <v>3</v>
      </c>
      <c r="R28" s="67">
        <f t="shared" ref="R28" si="35">TINV(0.05,Q28-1)</f>
        <v>4.3026527297494637</v>
      </c>
      <c r="S28" s="67">
        <f t="shared" ref="S28" si="36">P28*R28/SQRT(Q28)</f>
        <v>1.0814641012471165E-2</v>
      </c>
      <c r="T28" s="68">
        <f t="shared" ref="T28" si="37">AVERAGE(N28:N30)</f>
        <v>0.15</v>
      </c>
      <c r="U28" s="68">
        <f t="shared" ref="U28" si="38">SQRT(S28^2+T28^2)</f>
        <v>0.15038934955716984</v>
      </c>
      <c r="V28" s="70">
        <f>AVERAGE(F28:F30)</f>
        <v>40.010885348267813</v>
      </c>
      <c r="X28" s="80">
        <f t="shared" ref="X28" si="39">AVERAGE(K28:K30)</f>
        <v>265000.56233661558</v>
      </c>
    </row>
    <row r="29" spans="3:24">
      <c r="C29" s="10" t="s">
        <v>56</v>
      </c>
      <c r="D29" s="62">
        <v>45727</v>
      </c>
      <c r="E29" s="9"/>
      <c r="F29" s="47">
        <v>40.011586636270167</v>
      </c>
      <c r="G29" s="64">
        <v>31.127192058041693</v>
      </c>
      <c r="H29" s="63">
        <v>20.669046401977539</v>
      </c>
      <c r="I29" s="66">
        <v>22.0871589586</v>
      </c>
      <c r="J29" s="61">
        <v>1.16116035004E-5</v>
      </c>
      <c r="K29" s="61">
        <f t="shared" si="1"/>
        <v>265005.27831193426</v>
      </c>
      <c r="L29" s="65">
        <v>40.021462517246661</v>
      </c>
      <c r="M29" s="48">
        <f t="shared" si="0"/>
        <v>2.4682552747213721E-2</v>
      </c>
      <c r="N29" s="6">
        <v>0.15</v>
      </c>
      <c r="O29" s="76"/>
      <c r="P29" s="68"/>
      <c r="Q29" s="68"/>
      <c r="R29" s="67"/>
      <c r="S29" s="67"/>
      <c r="T29" s="68"/>
      <c r="U29" s="68"/>
      <c r="V29" s="70"/>
      <c r="X29" s="80"/>
    </row>
    <row r="30" spans="3:24">
      <c r="C30" s="10" t="s">
        <v>56</v>
      </c>
      <c r="D30" s="62">
        <v>45727</v>
      </c>
      <c r="E30" s="9"/>
      <c r="F30" s="47">
        <v>40.010444340215706</v>
      </c>
      <c r="G30" s="64">
        <v>31.127623640557751</v>
      </c>
      <c r="H30" s="63">
        <v>20.631753921508789</v>
      </c>
      <c r="I30" s="66">
        <v>22.090842739900001</v>
      </c>
      <c r="J30" s="61">
        <v>1.16103330585E-5</v>
      </c>
      <c r="K30" s="61">
        <f t="shared" si="1"/>
        <v>265048.01773314807</v>
      </c>
      <c r="L30" s="65">
        <v>40.016863406408092</v>
      </c>
      <c r="M30" s="48">
        <f t="shared" si="0"/>
        <v>1.6043476392822689E-2</v>
      </c>
      <c r="N30" s="6">
        <v>0.15</v>
      </c>
      <c r="O30" s="76"/>
      <c r="P30" s="68"/>
      <c r="Q30" s="68"/>
      <c r="R30" s="67"/>
      <c r="S30" s="67"/>
      <c r="T30" s="68"/>
      <c r="U30" s="68"/>
      <c r="V30" s="70"/>
      <c r="X30" s="80"/>
    </row>
    <row r="31" spans="3:24">
      <c r="C31" s="10" t="s">
        <v>56</v>
      </c>
      <c r="D31" s="62">
        <v>45727</v>
      </c>
      <c r="E31" s="9"/>
      <c r="F31" s="47">
        <v>20.00421296243011</v>
      </c>
      <c r="G31" s="64">
        <v>31.1248110046871</v>
      </c>
      <c r="H31" s="65">
        <v>20.614000797271729</v>
      </c>
      <c r="I31" s="66">
        <v>22.092685165599999</v>
      </c>
      <c r="J31" s="61">
        <v>1.16096978254E-5</v>
      </c>
      <c r="K31" s="61">
        <f t="shared" si="1"/>
        <v>131233.07734837447</v>
      </c>
      <c r="L31" s="65">
        <v>19.810790966378079</v>
      </c>
      <c r="M31" s="48">
        <f t="shared" si="0"/>
        <v>-0.96690630326370031</v>
      </c>
      <c r="N31" s="6">
        <v>0.15</v>
      </c>
      <c r="O31" s="76">
        <f>AVERAGE(M31:M33)</f>
        <v>-0.97170352645324287</v>
      </c>
      <c r="P31" s="68">
        <f t="shared" ref="P31" si="40">STDEV(M31:M33)</f>
        <v>7.8031807689221654E-3</v>
      </c>
      <c r="Q31" s="68">
        <f t="shared" ref="Q31" si="41">COUNT(N31:N33)</f>
        <v>3</v>
      </c>
      <c r="R31" s="67">
        <f t="shared" ref="R31" si="42">TINV(0.05,Q31-1)</f>
        <v>4.3026527297494637</v>
      </c>
      <c r="S31" s="67">
        <f t="shared" ref="S31" si="43">P31*R31/SQRT(Q31)</f>
        <v>1.9384175619684498E-2</v>
      </c>
      <c r="T31" s="68">
        <f t="shared" ref="T31" si="44">AVERAGE(N31:N33)</f>
        <v>0.15</v>
      </c>
      <c r="U31" s="68">
        <f t="shared" ref="U31" si="45">SQRT(S31^2+T31^2)</f>
        <v>0.15124730167660766</v>
      </c>
      <c r="V31" s="70">
        <f>AVERAGE(F31:F33)</f>
        <v>20.005182010578281</v>
      </c>
      <c r="X31" s="80">
        <f t="shared" ref="X31" si="46">AVERAGE(K31:K33)</f>
        <v>131257.25174763135</v>
      </c>
    </row>
    <row r="32" spans="3:24">
      <c r="C32" s="10" t="s">
        <v>56</v>
      </c>
      <c r="D32" s="62">
        <v>45727</v>
      </c>
      <c r="E32" s="9"/>
      <c r="F32" s="47">
        <v>20.004801006010133</v>
      </c>
      <c r="G32" s="64">
        <v>31.117219894509763</v>
      </c>
      <c r="H32" s="65">
        <v>20.577345371246338</v>
      </c>
      <c r="I32" s="66">
        <v>22.0954494735</v>
      </c>
      <c r="J32" s="61">
        <v>1.16087449602E-5</v>
      </c>
      <c r="K32" s="61">
        <f t="shared" si="1"/>
        <v>131245.83658040318</v>
      </c>
      <c r="L32" s="65">
        <v>19.808612440191389</v>
      </c>
      <c r="M32" s="48">
        <f t="shared" si="0"/>
        <v>-0.98070740998524442</v>
      </c>
      <c r="N32" s="6">
        <v>0.15</v>
      </c>
      <c r="O32" s="76"/>
      <c r="P32" s="68"/>
      <c r="Q32" s="68"/>
      <c r="R32" s="67"/>
      <c r="S32" s="67"/>
      <c r="T32" s="68"/>
      <c r="U32" s="68"/>
      <c r="V32" s="70"/>
      <c r="X32" s="80"/>
    </row>
    <row r="33" spans="3:24">
      <c r="C33" s="10" t="s">
        <v>56</v>
      </c>
      <c r="D33" s="62">
        <v>45727</v>
      </c>
      <c r="E33" s="9"/>
      <c r="F33" s="47">
        <v>20.006532063294596</v>
      </c>
      <c r="G33" s="64">
        <v>31.117145257629453</v>
      </c>
      <c r="H33" s="65">
        <v>20.55904483795166</v>
      </c>
      <c r="I33" s="66">
        <v>22.097292791800001</v>
      </c>
      <c r="J33" s="61">
        <v>1.1608109706499999E-5</v>
      </c>
      <c r="K33" s="61">
        <f t="shared" si="1"/>
        <v>131292.84131411638</v>
      </c>
      <c r="L33" s="65">
        <v>19.812969492564772</v>
      </c>
      <c r="M33" s="48">
        <f t="shared" si="0"/>
        <v>-0.96749686611078356</v>
      </c>
      <c r="N33" s="6">
        <v>0.15</v>
      </c>
      <c r="O33" s="76"/>
      <c r="P33" s="68"/>
      <c r="Q33" s="68"/>
      <c r="R33" s="67"/>
      <c r="S33" s="67"/>
      <c r="T33" s="68"/>
      <c r="U33" s="68"/>
      <c r="V33" s="70"/>
      <c r="X33" s="80"/>
    </row>
    <row r="38" spans="3:24">
      <c r="C38" s="7"/>
      <c r="D38" s="53"/>
      <c r="I38" s="78" t="s">
        <v>54</v>
      </c>
      <c r="J38" s="78"/>
      <c r="K38" s="78"/>
      <c r="T38" s="7"/>
      <c r="U38" s="7">
        <f>AVERAGE(U42:U56,U66:U83)</f>
        <v>0.15022236439827658</v>
      </c>
      <c r="V38" s="7"/>
      <c r="W38" s="7"/>
      <c r="X38" s="7"/>
    </row>
    <row r="39" spans="3:24" ht="21">
      <c r="C39" s="1" t="s">
        <v>55</v>
      </c>
      <c r="E39" s="3"/>
      <c r="F39" s="1"/>
      <c r="G39" s="3"/>
      <c r="H39" s="3"/>
      <c r="I39" s="3"/>
      <c r="J39" s="3"/>
      <c r="K39" s="3"/>
      <c r="L39" s="2"/>
      <c r="M39" s="3"/>
      <c r="N39" s="3"/>
      <c r="O39" s="3"/>
    </row>
    <row r="40" spans="3:24" ht="45">
      <c r="C40" s="13" t="s">
        <v>14</v>
      </c>
      <c r="D40" s="13" t="s">
        <v>15</v>
      </c>
      <c r="E40" s="8" t="s">
        <v>16</v>
      </c>
      <c r="F40" s="14" t="s">
        <v>17</v>
      </c>
      <c r="G40" s="14" t="s">
        <v>18</v>
      </c>
      <c r="H40" s="14" t="s">
        <v>19</v>
      </c>
      <c r="I40" s="14" t="s">
        <v>20</v>
      </c>
      <c r="J40" s="14" t="s">
        <v>34</v>
      </c>
      <c r="K40" s="55" t="s">
        <v>21</v>
      </c>
      <c r="L40" s="14" t="s">
        <v>22</v>
      </c>
      <c r="M40" s="14" t="s">
        <v>23</v>
      </c>
      <c r="N40" s="4" t="s">
        <v>24</v>
      </c>
      <c r="O40" s="34" t="s">
        <v>25</v>
      </c>
      <c r="P40" s="34" t="s">
        <v>26</v>
      </c>
      <c r="Q40" s="34" t="s">
        <v>27</v>
      </c>
      <c r="R40" s="34" t="s">
        <v>28</v>
      </c>
      <c r="S40" s="34" t="s">
        <v>29</v>
      </c>
      <c r="T40" s="34" t="s">
        <v>30</v>
      </c>
      <c r="U40" s="34" t="s">
        <v>31</v>
      </c>
      <c r="V40" s="34" t="s">
        <v>32</v>
      </c>
      <c r="X40" s="34" t="s">
        <v>33</v>
      </c>
    </row>
    <row r="41" spans="3:24">
      <c r="C41" s="51" t="s">
        <v>45</v>
      </c>
      <c r="D41" s="15" t="s">
        <v>45</v>
      </c>
      <c r="E41" s="16" t="s">
        <v>45</v>
      </c>
      <c r="F41" s="17" t="s">
        <v>46</v>
      </c>
      <c r="G41" s="17" t="s">
        <v>47</v>
      </c>
      <c r="H41" s="17" t="s">
        <v>48</v>
      </c>
      <c r="I41" s="17" t="s">
        <v>49</v>
      </c>
      <c r="J41" s="17" t="s">
        <v>51</v>
      </c>
      <c r="K41" s="56" t="s">
        <v>45</v>
      </c>
      <c r="L41" s="17" t="s">
        <v>46</v>
      </c>
      <c r="M41" s="17" t="s">
        <v>50</v>
      </c>
      <c r="N41" s="5" t="s">
        <v>50</v>
      </c>
      <c r="O41" s="35" t="s">
        <v>50</v>
      </c>
      <c r="P41" s="36"/>
      <c r="Q41" s="36"/>
      <c r="R41" s="36"/>
      <c r="S41" s="37" t="s">
        <v>50</v>
      </c>
      <c r="T41" s="22" t="s">
        <v>50</v>
      </c>
      <c r="U41" s="22" t="s">
        <v>50</v>
      </c>
      <c r="V41" s="22" t="s">
        <v>46</v>
      </c>
      <c r="X41" s="22" t="s">
        <v>45</v>
      </c>
    </row>
    <row r="42" spans="3:24">
      <c r="C42" s="10" t="s">
        <v>56</v>
      </c>
      <c r="D42" s="62">
        <v>45729</v>
      </c>
      <c r="E42" s="9"/>
      <c r="F42" s="47">
        <v>400.99432050144355</v>
      </c>
      <c r="G42" s="64">
        <v>21.01896600151062</v>
      </c>
      <c r="H42" s="65">
        <v>20.561943054199219</v>
      </c>
      <c r="I42" s="66">
        <v>14.6482480162</v>
      </c>
      <c r="J42" s="61">
        <v>1.14006950028E-5</v>
      </c>
      <c r="K42" s="61">
        <f>4*I42*(L42/3600)/(0.1016*PI()*J42)</f>
        <v>1801162.3331054961</v>
      </c>
      <c r="L42" s="65">
        <v>402.70274413613367</v>
      </c>
      <c r="M42" s="48">
        <f t="shared" ref="M42:M62" si="47">(L42-F42)/F42*100</f>
        <v>0.42604684090132156</v>
      </c>
      <c r="N42" s="6">
        <v>0.15</v>
      </c>
      <c r="O42" s="76">
        <f>AVERAGE(M42:M44)</f>
        <v>0.43169567776863449</v>
      </c>
      <c r="P42" s="68">
        <f>STDEV(M42:M44)</f>
        <v>5.7516620660858428E-3</v>
      </c>
      <c r="Q42" s="68">
        <f>COUNT(N42:N44)</f>
        <v>3</v>
      </c>
      <c r="R42" s="67">
        <f>TINV(0.05,Q42-1)</f>
        <v>4.3026527297494637</v>
      </c>
      <c r="S42" s="67">
        <f>P42*R42/SQRT(Q42)</f>
        <v>1.4287920643607666E-2</v>
      </c>
      <c r="T42" s="68">
        <f>AVERAGE(N42:N44)</f>
        <v>0.15</v>
      </c>
      <c r="U42" s="68">
        <f>SQRT(S42^2+T42^2)</f>
        <v>0.15067894569686247</v>
      </c>
      <c r="V42" s="70">
        <f>AVERAGE(F42:F44)</f>
        <v>400.92292293081431</v>
      </c>
      <c r="X42" s="80">
        <f>AVERAGE(K42:K44)</f>
        <v>1799641.7987191628</v>
      </c>
    </row>
    <row r="43" spans="3:24">
      <c r="C43" s="10" t="s">
        <v>56</v>
      </c>
      <c r="D43" s="62">
        <v>45729</v>
      </c>
      <c r="E43" s="9"/>
      <c r="F43" s="47">
        <v>400.9313523335594</v>
      </c>
      <c r="G43" s="64">
        <v>21.029783849716186</v>
      </c>
      <c r="H43" s="65">
        <v>20.677733898162842</v>
      </c>
      <c r="I43" s="66">
        <v>14.6413848081</v>
      </c>
      <c r="J43" s="61">
        <v>1.1404626087199999E-5</v>
      </c>
      <c r="K43" s="61">
        <f t="shared" ref="K43:K62" si="48">4*I43*(L43/3600)/(0.1016*PI()*J43)</f>
        <v>1799512.8882494408</v>
      </c>
      <c r="L43" s="65">
        <v>402.66135213858661</v>
      </c>
      <c r="M43" s="48">
        <f t="shared" si="47"/>
        <v>0.43149526594964621</v>
      </c>
      <c r="N43" s="6">
        <v>0.15</v>
      </c>
      <c r="O43" s="76"/>
      <c r="P43" s="68"/>
      <c r="Q43" s="68"/>
      <c r="R43" s="67"/>
      <c r="S43" s="67"/>
      <c r="T43" s="68"/>
      <c r="U43" s="68"/>
      <c r="V43" s="70"/>
      <c r="X43" s="80"/>
    </row>
    <row r="44" spans="3:24">
      <c r="C44" s="10" t="s">
        <v>56</v>
      </c>
      <c r="D44" s="62">
        <v>45729</v>
      </c>
      <c r="E44" s="9"/>
      <c r="F44" s="47">
        <v>400.84309595743986</v>
      </c>
      <c r="G44" s="64">
        <v>21.032318158149721</v>
      </c>
      <c r="H44" s="65">
        <v>20.762831687927246</v>
      </c>
      <c r="I44" s="66">
        <v>14.636813310400001</v>
      </c>
      <c r="J44" s="61">
        <v>1.1407246554499999E-5</v>
      </c>
      <c r="K44" s="61">
        <f t="shared" si="48"/>
        <v>1798250.1748025506</v>
      </c>
      <c r="L44" s="65">
        <v>402.59696458684652</v>
      </c>
      <c r="M44" s="48">
        <f t="shared" si="47"/>
        <v>0.43754492645493581</v>
      </c>
      <c r="N44" s="6">
        <v>0.15</v>
      </c>
      <c r="O44" s="76"/>
      <c r="P44" s="68"/>
      <c r="Q44" s="68"/>
      <c r="R44" s="67"/>
      <c r="S44" s="67"/>
      <c r="T44" s="68"/>
      <c r="U44" s="68"/>
      <c r="V44" s="70"/>
      <c r="X44" s="80"/>
    </row>
    <row r="45" spans="3:24">
      <c r="C45" s="10" t="s">
        <v>56</v>
      </c>
      <c r="D45" s="62">
        <v>45729</v>
      </c>
      <c r="E45" s="9"/>
      <c r="F45" s="47">
        <v>340.73884885590934</v>
      </c>
      <c r="G45" s="64">
        <v>21.050735033988953</v>
      </c>
      <c r="H45" s="65">
        <v>20.730257034301758</v>
      </c>
      <c r="I45" s="66">
        <v>14.710918124399999</v>
      </c>
      <c r="J45" s="61">
        <v>1.1408159155E-5</v>
      </c>
      <c r="K45" s="61">
        <f t="shared" si="48"/>
        <v>1534774.4637429593</v>
      </c>
      <c r="L45" s="65">
        <v>341.90578392939267</v>
      </c>
      <c r="M45" s="48">
        <f t="shared" si="47"/>
        <v>0.34247197741071206</v>
      </c>
      <c r="N45" s="6">
        <v>0.15</v>
      </c>
      <c r="O45" s="76">
        <f t="shared" ref="O45" si="49">AVERAGE(M45:M47)</f>
        <v>0.34005477273344947</v>
      </c>
      <c r="P45" s="68">
        <f t="shared" ref="P45" si="50">STDEV(M45:M47)</f>
        <v>2.1089129956008219E-3</v>
      </c>
      <c r="Q45" s="68">
        <f t="shared" ref="Q45" si="51">COUNT(N45:N47)</f>
        <v>3</v>
      </c>
      <c r="R45" s="67">
        <f t="shared" ref="R45" si="52">TINV(0.05,Q45-1)</f>
        <v>4.3026527297494637</v>
      </c>
      <c r="S45" s="67">
        <f t="shared" ref="S45" si="53">P45*R45/SQRT(Q45)</f>
        <v>5.2388303031723621E-3</v>
      </c>
      <c r="T45" s="68">
        <f t="shared" ref="T45" si="54">AVERAGE(N45:N47)</f>
        <v>0.15</v>
      </c>
      <c r="U45" s="68">
        <f t="shared" ref="U45" si="55">SQRT(S45^2+T45^2)</f>
        <v>0.15009145659545528</v>
      </c>
      <c r="V45" s="70">
        <f>AVERAGE(F45:F47)</f>
        <v>340.75971682755534</v>
      </c>
      <c r="X45" s="80">
        <f t="shared" ref="X45" si="56">AVERAGE(K45:K47)</f>
        <v>1534692.8221463149</v>
      </c>
    </row>
    <row r="46" spans="3:24">
      <c r="C46" s="10" t="s">
        <v>56</v>
      </c>
      <c r="D46" s="62">
        <v>45729</v>
      </c>
      <c r="E46" s="9"/>
      <c r="F46" s="47">
        <v>340.75815103767434</v>
      </c>
      <c r="G46" s="64">
        <v>21.051246111869812</v>
      </c>
      <c r="H46" s="65">
        <v>20.74217414855957</v>
      </c>
      <c r="I46" s="66">
        <v>14.7103435621</v>
      </c>
      <c r="J46" s="61">
        <v>1.14084866305E-5</v>
      </c>
      <c r="K46" s="61">
        <f t="shared" si="48"/>
        <v>1534705.8557699816</v>
      </c>
      <c r="L46" s="65">
        <v>341.91366811940162</v>
      </c>
      <c r="M46" s="48">
        <f t="shared" si="47"/>
        <v>0.33910181699498892</v>
      </c>
      <c r="N46" s="6">
        <v>0.15</v>
      </c>
      <c r="O46" s="76"/>
      <c r="P46" s="68"/>
      <c r="Q46" s="68"/>
      <c r="R46" s="67"/>
      <c r="S46" s="67"/>
      <c r="T46" s="68"/>
      <c r="U46" s="68"/>
      <c r="V46" s="70"/>
      <c r="X46" s="80"/>
    </row>
    <row r="47" spans="3:24">
      <c r="C47" s="10" t="s">
        <v>56</v>
      </c>
      <c r="D47" s="62">
        <v>45729</v>
      </c>
      <c r="E47" s="9"/>
      <c r="F47" s="47">
        <v>340.78215058908222</v>
      </c>
      <c r="G47" s="64">
        <v>21.050623332023619</v>
      </c>
      <c r="H47" s="65">
        <v>20.760802268981934</v>
      </c>
      <c r="I47" s="66">
        <v>14.709194587500001</v>
      </c>
      <c r="J47" s="61">
        <v>1.1409141572099999E-5</v>
      </c>
      <c r="K47" s="61">
        <f t="shared" si="48"/>
        <v>1534598.1469260037</v>
      </c>
      <c r="L47" s="65">
        <v>341.93600665776046</v>
      </c>
      <c r="M47" s="48">
        <f t="shared" si="47"/>
        <v>0.33859052379464738</v>
      </c>
      <c r="N47" s="6">
        <v>0.15</v>
      </c>
      <c r="O47" s="76"/>
      <c r="P47" s="68"/>
      <c r="Q47" s="68"/>
      <c r="R47" s="67"/>
      <c r="S47" s="67"/>
      <c r="T47" s="68"/>
      <c r="U47" s="68"/>
      <c r="V47" s="70"/>
      <c r="X47" s="80"/>
    </row>
    <row r="48" spans="3:24">
      <c r="C48" s="10" t="s">
        <v>56</v>
      </c>
      <c r="D48" s="62">
        <v>45729</v>
      </c>
      <c r="E48" s="9"/>
      <c r="F48" s="47">
        <v>280.4548696234354</v>
      </c>
      <c r="G48" s="64">
        <v>21.066771650791168</v>
      </c>
      <c r="H48" s="65">
        <v>20.726529598236084</v>
      </c>
      <c r="I48" s="66">
        <v>14.710918124399999</v>
      </c>
      <c r="J48" s="61">
        <v>1.1408159155E-5</v>
      </c>
      <c r="K48" s="61">
        <f t="shared" si="48"/>
        <v>1263105.2336181276</v>
      </c>
      <c r="L48" s="65">
        <v>281.38530793137568</v>
      </c>
      <c r="M48" s="48">
        <f t="shared" si="47"/>
        <v>0.33176043945664796</v>
      </c>
      <c r="N48" s="6">
        <v>0.15</v>
      </c>
      <c r="O48" s="76">
        <f t="shared" ref="O48" si="57">AVERAGE(M48:M50)</f>
        <v>0.3287032184313603</v>
      </c>
      <c r="P48" s="68">
        <f t="shared" ref="P48" si="58">STDEV(M48:M50)</f>
        <v>3.0574460488696181E-3</v>
      </c>
      <c r="Q48" s="68">
        <f t="shared" ref="Q48" si="59">COUNT(N48:N50)</f>
        <v>3</v>
      </c>
      <c r="R48" s="67">
        <f t="shared" ref="R48" si="60">TINV(0.05,Q48-1)</f>
        <v>4.3026527297494637</v>
      </c>
      <c r="S48" s="67">
        <f t="shared" ref="S48" si="61">P48*R48/SQRT(Q48)</f>
        <v>7.595117031639064E-3</v>
      </c>
      <c r="T48" s="68">
        <f t="shared" ref="T48" si="62">AVERAGE(N48:N50)</f>
        <v>0.15</v>
      </c>
      <c r="U48" s="68">
        <f t="shared" ref="U48" si="63">SQRT(S48^2+T48^2)</f>
        <v>0.15019216292045431</v>
      </c>
      <c r="V48" s="70">
        <f>AVERAGE(F48:F50)</f>
        <v>280.45141343479946</v>
      </c>
      <c r="X48" s="80">
        <f t="shared" ref="X48" si="64">AVERAGE(K48:K50)</f>
        <v>1263079.7088702186</v>
      </c>
    </row>
    <row r="49" spans="3:24">
      <c r="C49" s="10" t="s">
        <v>56</v>
      </c>
      <c r="D49" s="62">
        <v>45729</v>
      </c>
      <c r="E49" s="9"/>
      <c r="F49" s="47">
        <v>280.48041703156957</v>
      </c>
      <c r="G49" s="64">
        <v>21.06711213350296</v>
      </c>
      <c r="H49" s="65">
        <v>20.725054740905762</v>
      </c>
      <c r="I49" s="66">
        <v>14.710918124399999</v>
      </c>
      <c r="J49" s="61">
        <v>1.1408159155E-5</v>
      </c>
      <c r="K49" s="61">
        <f t="shared" si="48"/>
        <v>1263181.8072896611</v>
      </c>
      <c r="L49" s="65">
        <v>281.40236645157688</v>
      </c>
      <c r="M49" s="48">
        <f t="shared" si="47"/>
        <v>0.3287036684288509</v>
      </c>
      <c r="N49" s="6">
        <v>0.15</v>
      </c>
      <c r="O49" s="76"/>
      <c r="P49" s="68"/>
      <c r="Q49" s="68"/>
      <c r="R49" s="67"/>
      <c r="S49" s="67"/>
      <c r="T49" s="68"/>
      <c r="U49" s="68"/>
      <c r="V49" s="70"/>
      <c r="X49" s="80"/>
    </row>
    <row r="50" spans="3:24">
      <c r="C50" s="10" t="s">
        <v>56</v>
      </c>
      <c r="D50" s="62">
        <v>45729</v>
      </c>
      <c r="E50" s="9"/>
      <c r="F50" s="47">
        <v>280.41895364939342</v>
      </c>
      <c r="G50" s="64">
        <v>21.064883799076082</v>
      </c>
      <c r="H50" s="65">
        <v>20.723501205444336</v>
      </c>
      <c r="I50" s="66">
        <v>14.7114927366</v>
      </c>
      <c r="J50" s="61">
        <v>1.1407831676199999E-5</v>
      </c>
      <c r="K50" s="61">
        <f t="shared" si="48"/>
        <v>1262952.0857028668</v>
      </c>
      <c r="L50" s="65">
        <v>281.3321254860424</v>
      </c>
      <c r="M50" s="48">
        <f t="shared" si="47"/>
        <v>0.32564554740858198</v>
      </c>
      <c r="N50" s="6">
        <v>0.15</v>
      </c>
      <c r="O50" s="76"/>
      <c r="P50" s="68"/>
      <c r="Q50" s="68"/>
      <c r="R50" s="67"/>
      <c r="S50" s="67"/>
      <c r="T50" s="68"/>
      <c r="U50" s="68"/>
      <c r="V50" s="70"/>
      <c r="X50" s="80"/>
    </row>
    <row r="51" spans="3:24">
      <c r="C51" s="10" t="s">
        <v>56</v>
      </c>
      <c r="D51" s="62">
        <v>45729</v>
      </c>
      <c r="E51" s="9"/>
      <c r="F51" s="47">
        <v>160.11109689524454</v>
      </c>
      <c r="G51" s="64">
        <v>21.071757823705674</v>
      </c>
      <c r="H51" s="65">
        <v>20.593710899353027</v>
      </c>
      <c r="I51" s="66">
        <v>14.7189672456</v>
      </c>
      <c r="J51" s="61">
        <v>1.1403574162299999E-5</v>
      </c>
      <c r="K51" s="61">
        <f t="shared" si="48"/>
        <v>721115.97324091487</v>
      </c>
      <c r="L51" s="65">
        <v>160.49254287028316</v>
      </c>
      <c r="M51" s="48">
        <f t="shared" si="47"/>
        <v>0.23823831229398421</v>
      </c>
      <c r="N51" s="6">
        <v>0.15</v>
      </c>
      <c r="O51" s="76">
        <f t="shared" ref="O51" si="65">AVERAGE(M51:M53)</f>
        <v>0.23833452755203069</v>
      </c>
      <c r="P51" s="68">
        <f t="shared" ref="P51" si="66">STDEV(M51:M53)</f>
        <v>1.8302179596446529E-3</v>
      </c>
      <c r="Q51" s="68">
        <f t="shared" ref="Q51" si="67">COUNT(N51:N53)</f>
        <v>3</v>
      </c>
      <c r="R51" s="67">
        <f t="shared" ref="R51" si="68">TINV(0.05,Q51-1)</f>
        <v>4.3026527297494637</v>
      </c>
      <c r="S51" s="67">
        <f t="shared" ref="S51" si="69">P51*R51/SQRT(Q51)</f>
        <v>4.5465134542760285E-3</v>
      </c>
      <c r="T51" s="68">
        <f t="shared" ref="T51" si="70">AVERAGE(N51:N53)</f>
        <v>0.15</v>
      </c>
      <c r="U51" s="68">
        <f t="shared" ref="U51" si="71">SQRT(S51^2+T51^2)</f>
        <v>0.15006888679733021</v>
      </c>
      <c r="V51" s="70">
        <f>AVERAGE(F51:F53)</f>
        <v>160.10963231520373</v>
      </c>
      <c r="X51" s="80">
        <f t="shared" ref="X51" si="72">AVERAGE(K51:K53)</f>
        <v>721256.79187173804</v>
      </c>
    </row>
    <row r="52" spans="3:24">
      <c r="C52" s="10" t="s">
        <v>56</v>
      </c>
      <c r="D52" s="62">
        <v>45729</v>
      </c>
      <c r="E52" s="9"/>
      <c r="F52" s="47">
        <v>160.10794604345375</v>
      </c>
      <c r="G52" s="64">
        <v>21.070341791033744</v>
      </c>
      <c r="H52" s="65">
        <v>20.551788330078125</v>
      </c>
      <c r="I52" s="66">
        <v>14.7212687961</v>
      </c>
      <c r="J52" s="61">
        <v>1.14022640496E-5</v>
      </c>
      <c r="K52" s="61">
        <f t="shared" si="48"/>
        <v>721311.60019075638</v>
      </c>
      <c r="L52" s="65">
        <v>160.49254287028316</v>
      </c>
      <c r="M52" s="48">
        <f t="shared" si="47"/>
        <v>0.24021095537945877</v>
      </c>
      <c r="N52" s="6">
        <v>0.15</v>
      </c>
      <c r="O52" s="76"/>
      <c r="P52" s="68"/>
      <c r="Q52" s="68"/>
      <c r="R52" s="67"/>
      <c r="S52" s="67"/>
      <c r="T52" s="68"/>
      <c r="U52" s="68"/>
      <c r="V52" s="70"/>
      <c r="X52" s="80"/>
    </row>
    <row r="53" spans="3:24">
      <c r="C53" s="10" t="s">
        <v>56</v>
      </c>
      <c r="D53" s="62">
        <v>45729</v>
      </c>
      <c r="E53" s="9"/>
      <c r="F53" s="47">
        <v>160.10985400691291</v>
      </c>
      <c r="G53" s="64">
        <v>21.073516664266585</v>
      </c>
      <c r="H53" s="65">
        <v>20.541008949279785</v>
      </c>
      <c r="I53" s="66">
        <v>14.7218443089</v>
      </c>
      <c r="J53" s="61">
        <v>1.1401936513500001E-5</v>
      </c>
      <c r="K53" s="61">
        <f t="shared" si="48"/>
        <v>721342.80218354275</v>
      </c>
      <c r="L53" s="65">
        <v>160.48860077527868</v>
      </c>
      <c r="M53" s="48">
        <f t="shared" si="47"/>
        <v>0.23655431498264909</v>
      </c>
      <c r="N53" s="6">
        <v>0.15</v>
      </c>
      <c r="O53" s="76"/>
      <c r="P53" s="68"/>
      <c r="Q53" s="68"/>
      <c r="R53" s="67"/>
      <c r="S53" s="67"/>
      <c r="T53" s="68"/>
      <c r="U53" s="68"/>
      <c r="V53" s="70"/>
      <c r="X53" s="80"/>
    </row>
    <row r="54" spans="3:24">
      <c r="C54" s="10" t="s">
        <v>56</v>
      </c>
      <c r="D54" s="62">
        <v>45729</v>
      </c>
      <c r="E54" s="9"/>
      <c r="F54" s="47">
        <v>80.024948404774065</v>
      </c>
      <c r="G54" s="64">
        <v>21.078060687392949</v>
      </c>
      <c r="H54" s="65">
        <v>20.494114398956299</v>
      </c>
      <c r="I54" s="66">
        <v>14.7247226249</v>
      </c>
      <c r="J54" s="61">
        <v>1.1400298784999999E-5</v>
      </c>
      <c r="K54" s="61">
        <f t="shared" si="48"/>
        <v>360192.41329672345</v>
      </c>
      <c r="L54" s="65">
        <v>80.110559017413493</v>
      </c>
      <c r="M54" s="48">
        <f t="shared" si="47"/>
        <v>0.10697990357507153</v>
      </c>
      <c r="N54" s="6">
        <v>0.15</v>
      </c>
      <c r="O54" s="76">
        <f>AVERAGE(M54:M56)</f>
        <v>0.10902304619661007</v>
      </c>
      <c r="P54" s="68">
        <f t="shared" ref="P54" si="73">STDEV(M54:M56)</f>
        <v>1.9769243876905586E-3</v>
      </c>
      <c r="Q54" s="68">
        <f t="shared" ref="Q54" si="74">COUNT(N54:N56)</f>
        <v>3</v>
      </c>
      <c r="R54" s="67">
        <f t="shared" ref="R54" si="75">TINV(0.05,Q54-1)</f>
        <v>4.3026527297494637</v>
      </c>
      <c r="S54" s="67">
        <f t="shared" ref="S54" si="76">P54*R54/SQRT(Q54)</f>
        <v>4.9109524247410484E-3</v>
      </c>
      <c r="T54" s="68">
        <f t="shared" ref="T54" si="77">AVERAGE(N54:N56)</f>
        <v>0.15</v>
      </c>
      <c r="U54" s="68">
        <f t="shared" ref="U54" si="78">SQRT(S54^2+T54^2)</f>
        <v>0.1500803699812806</v>
      </c>
      <c r="V54" s="70">
        <f>AVERAGE(F54:F56)</f>
        <v>80.023855654698735</v>
      </c>
      <c r="X54" s="80">
        <f t="shared" ref="X54" si="79">AVERAGE(K54:K56)</f>
        <v>360292.61920569791</v>
      </c>
    </row>
    <row r="55" spans="3:24">
      <c r="C55" s="10" t="s">
        <v>56</v>
      </c>
      <c r="D55" s="62">
        <v>45729</v>
      </c>
      <c r="E55" s="9"/>
      <c r="F55" s="47">
        <v>80.023203359078906</v>
      </c>
      <c r="G55" s="64">
        <v>21.073381847739221</v>
      </c>
      <c r="H55" s="65">
        <v>20.451940059661865</v>
      </c>
      <c r="I55" s="66">
        <v>14.727026180099999</v>
      </c>
      <c r="J55" s="61">
        <v>1.1398988544899999E-5</v>
      </c>
      <c r="K55" s="61">
        <f t="shared" si="48"/>
        <v>360290.17054527823</v>
      </c>
      <c r="L55" s="65">
        <v>80.110559017413493</v>
      </c>
      <c r="M55" s="48">
        <f t="shared" si="47"/>
        <v>0.10916291109043258</v>
      </c>
      <c r="N55" s="6">
        <v>0.15</v>
      </c>
      <c r="O55" s="76"/>
      <c r="P55" s="68"/>
      <c r="Q55" s="68"/>
      <c r="R55" s="67"/>
      <c r="S55" s="67"/>
      <c r="T55" s="68"/>
      <c r="U55" s="68"/>
      <c r="V55" s="70"/>
      <c r="X55" s="80"/>
    </row>
    <row r="56" spans="3:24">
      <c r="C56" s="10" t="s">
        <v>56</v>
      </c>
      <c r="D56" s="62">
        <v>45729</v>
      </c>
      <c r="E56" s="9"/>
      <c r="F56" s="47">
        <v>80.02341520024325</v>
      </c>
      <c r="G56" s="64">
        <v>21.068211760357023</v>
      </c>
      <c r="H56" s="65">
        <v>20.40821361541748</v>
      </c>
      <c r="I56" s="66">
        <v>14.729330538099999</v>
      </c>
      <c r="J56" s="61">
        <v>1.13976782538E-5</v>
      </c>
      <c r="K56" s="61">
        <f t="shared" si="48"/>
        <v>360395.27377509204</v>
      </c>
      <c r="L56" s="65">
        <v>80.11218223300358</v>
      </c>
      <c r="M56" s="48">
        <f t="shared" si="47"/>
        <v>0.11092632392432614</v>
      </c>
      <c r="N56" s="6">
        <v>0.15</v>
      </c>
      <c r="O56" s="76"/>
      <c r="P56" s="68"/>
      <c r="Q56" s="68"/>
      <c r="R56" s="67"/>
      <c r="S56" s="67"/>
      <c r="T56" s="68"/>
      <c r="U56" s="68"/>
      <c r="V56" s="70"/>
      <c r="X56" s="80"/>
    </row>
    <row r="57" spans="3:24">
      <c r="C57" s="10" t="s">
        <v>56</v>
      </c>
      <c r="D57" s="62">
        <v>45729</v>
      </c>
      <c r="E57" s="9"/>
      <c r="F57" s="47">
        <v>40.008442567112965</v>
      </c>
      <c r="G57" s="64">
        <v>21.068031833007932</v>
      </c>
      <c r="H57" s="63">
        <v>20.361639022827148</v>
      </c>
      <c r="I57" s="66">
        <v>14.732212114999999</v>
      </c>
      <c r="J57" s="61">
        <v>1.13960403181E-5</v>
      </c>
      <c r="K57" s="61">
        <f t="shared" si="48"/>
        <v>179682.12674368839</v>
      </c>
      <c r="L57" s="65">
        <v>39.927947263529056</v>
      </c>
      <c r="M57" s="48">
        <f t="shared" si="47"/>
        <v>-0.20119579373498644</v>
      </c>
      <c r="N57" s="6">
        <v>0.15</v>
      </c>
      <c r="O57" s="76">
        <f>AVERAGE(M57:M59)</f>
        <v>-0.1992804791194881</v>
      </c>
      <c r="P57" s="68">
        <f t="shared" ref="P57" si="80">STDEV(M57:M59)</f>
        <v>1.8022339276903721E-3</v>
      </c>
      <c r="Q57" s="68">
        <f t="shared" ref="Q57" si="81">COUNT(N57:N59)</f>
        <v>3</v>
      </c>
      <c r="R57" s="67">
        <f t="shared" ref="R57" si="82">TINV(0.05,Q57-1)</f>
        <v>4.3026527297494637</v>
      </c>
      <c r="S57" s="67">
        <f t="shared" ref="S57" si="83">P57*R57/SQRT(Q57)</f>
        <v>4.476997265171573E-3</v>
      </c>
      <c r="T57" s="68">
        <f t="shared" ref="T57" si="84">AVERAGE(N57:N59)</f>
        <v>0.15</v>
      </c>
      <c r="U57" s="68">
        <f t="shared" ref="U57" si="85">SQRT(S57^2+T57^2)</f>
        <v>0.15006679680899554</v>
      </c>
      <c r="V57" s="70">
        <f>AVERAGE(F57:F59)</f>
        <v>40.00818678955136</v>
      </c>
      <c r="X57" s="80">
        <f t="shared" ref="X57" si="86">AVERAGE(K57:K59)</f>
        <v>179708.82405566212</v>
      </c>
    </row>
    <row r="58" spans="3:24">
      <c r="C58" s="10" t="s">
        <v>56</v>
      </c>
      <c r="D58" s="62">
        <v>45729</v>
      </c>
      <c r="E58" s="9"/>
      <c r="F58" s="47">
        <v>40.009109474328419</v>
      </c>
      <c r="G58" s="64">
        <v>21.060293553210794</v>
      </c>
      <c r="H58" s="63">
        <v>20.347329139709473</v>
      </c>
      <c r="I58" s="66">
        <v>14.732788581099999</v>
      </c>
      <c r="J58" s="61">
        <v>1.13957127214E-5</v>
      </c>
      <c r="K58" s="61">
        <f t="shared" si="48"/>
        <v>179701.22260842074</v>
      </c>
      <c r="L58" s="65">
        <v>39.929480300475241</v>
      </c>
      <c r="M58" s="48">
        <f t="shared" si="47"/>
        <v>-0.1990276087106396</v>
      </c>
      <c r="N58" s="6">
        <v>0.15</v>
      </c>
      <c r="O58" s="76"/>
      <c r="P58" s="68"/>
      <c r="Q58" s="68"/>
      <c r="R58" s="67"/>
      <c r="S58" s="67"/>
      <c r="T58" s="68"/>
      <c r="U58" s="68"/>
      <c r="V58" s="70"/>
      <c r="X58" s="80"/>
    </row>
    <row r="59" spans="3:24">
      <c r="C59" s="10" t="s">
        <v>56</v>
      </c>
      <c r="D59" s="62">
        <v>45729</v>
      </c>
      <c r="E59" s="9"/>
      <c r="F59" s="47">
        <v>40.007008327212702</v>
      </c>
      <c r="G59" s="64">
        <v>21.06104158258438</v>
      </c>
      <c r="H59" s="63">
        <v>20.305866241455078</v>
      </c>
      <c r="I59" s="66">
        <v>14.7350949478</v>
      </c>
      <c r="J59" s="61">
        <v>1.13944023028E-5</v>
      </c>
      <c r="K59" s="61">
        <f t="shared" si="48"/>
        <v>179743.12281487716</v>
      </c>
      <c r="L59" s="65">
        <v>39.927947263529049</v>
      </c>
      <c r="M59" s="48">
        <f t="shared" si="47"/>
        <v>-0.19761803491283822</v>
      </c>
      <c r="N59" s="6">
        <v>0.15</v>
      </c>
      <c r="O59" s="76"/>
      <c r="P59" s="68"/>
      <c r="Q59" s="68"/>
      <c r="R59" s="67"/>
      <c r="S59" s="67"/>
      <c r="T59" s="68"/>
      <c r="U59" s="68"/>
      <c r="V59" s="70"/>
      <c r="X59" s="80"/>
    </row>
    <row r="60" spans="3:24">
      <c r="C60" s="10" t="s">
        <v>56</v>
      </c>
      <c r="D60" s="62">
        <v>45729</v>
      </c>
      <c r="E60" s="9"/>
      <c r="F60" s="47">
        <v>20.004938548574053</v>
      </c>
      <c r="G60" s="64">
        <v>21.036759797787642</v>
      </c>
      <c r="H60" s="65">
        <v>20.004531860351563</v>
      </c>
      <c r="I60" s="66">
        <v>14.680371256600001</v>
      </c>
      <c r="J60" s="61">
        <v>1.13823438592E-5</v>
      </c>
      <c r="K60" s="61">
        <f t="shared" si="48"/>
        <v>88993.807229255894</v>
      </c>
      <c r="L60" s="65">
        <v>19.821683597311537</v>
      </c>
      <c r="M60" s="48">
        <f t="shared" si="47"/>
        <v>-0.91604855879738778</v>
      </c>
      <c r="N60" s="6">
        <v>0.15</v>
      </c>
      <c r="O60" s="76">
        <f>AVERAGE(M60:M62)</f>
        <v>-0.92230176797868557</v>
      </c>
      <c r="P60" s="68">
        <f t="shared" ref="P60" si="87">STDEV(M60:M62)</f>
        <v>2.7047961993894989E-2</v>
      </c>
      <c r="Q60" s="68">
        <f t="shared" ref="Q60" si="88">COUNT(N60:N62)</f>
        <v>3</v>
      </c>
      <c r="R60" s="67">
        <f t="shared" ref="R60" si="89">TINV(0.05,Q60-1)</f>
        <v>4.3026527297494637</v>
      </c>
      <c r="S60" s="67">
        <f t="shared" ref="S60" si="90">P60*R60/SQRT(Q60)</f>
        <v>6.7190862415024227E-2</v>
      </c>
      <c r="T60" s="68">
        <f t="shared" ref="T60" si="91">AVERAGE(N60:N62)</f>
        <v>0.15</v>
      </c>
      <c r="U60" s="68">
        <f t="shared" ref="U60" si="92">SQRT(S60^2+T60^2)</f>
        <v>0.16436122411345905</v>
      </c>
      <c r="V60" s="70">
        <f>AVERAGE(F60:F62)</f>
        <v>20.004490790925843</v>
      </c>
      <c r="X60" s="80">
        <f t="shared" ref="X60" si="93">AVERAGE(K60:K62)</f>
        <v>88974.104903636136</v>
      </c>
    </row>
    <row r="61" spans="3:24">
      <c r="C61" s="10" t="s">
        <v>56</v>
      </c>
      <c r="D61" s="62">
        <v>45729</v>
      </c>
      <c r="E61" s="9"/>
      <c r="F61" s="47">
        <v>20.003387471043517</v>
      </c>
      <c r="G61" s="64">
        <v>21.038634736428968</v>
      </c>
      <c r="H61" s="65">
        <v>20.024392127990723</v>
      </c>
      <c r="I61" s="66">
        <v>14.679221297</v>
      </c>
      <c r="J61" s="61">
        <v>1.1382999429799999E-5</v>
      </c>
      <c r="K61" s="61">
        <f t="shared" si="48"/>
        <v>88942.592556166244</v>
      </c>
      <c r="L61" s="65">
        <v>19.812969492564772</v>
      </c>
      <c r="M61" s="48">
        <f t="shared" si="47"/>
        <v>-0.95192866085501893</v>
      </c>
      <c r="N61" s="6">
        <v>0.15</v>
      </c>
      <c r="O61" s="76"/>
      <c r="P61" s="68"/>
      <c r="Q61" s="68"/>
      <c r="R61" s="67"/>
      <c r="S61" s="67"/>
      <c r="T61" s="68"/>
      <c r="U61" s="68"/>
      <c r="V61" s="70"/>
      <c r="X61" s="80"/>
    </row>
    <row r="62" spans="3:24">
      <c r="C62" s="10" t="s">
        <v>56</v>
      </c>
      <c r="D62" s="62">
        <v>45729</v>
      </c>
      <c r="E62" s="9"/>
      <c r="F62" s="47">
        <v>20.005146353159958</v>
      </c>
      <c r="G62" s="64">
        <v>21.037785778573017</v>
      </c>
      <c r="H62" s="65">
        <v>20.035587310791016</v>
      </c>
      <c r="I62" s="66">
        <v>14.678071537899999</v>
      </c>
      <c r="J62" s="61">
        <v>1.13836549875E-5</v>
      </c>
      <c r="K62" s="61">
        <f t="shared" si="48"/>
        <v>88985.914925486242</v>
      </c>
      <c r="L62" s="65">
        <v>19.825314474289357</v>
      </c>
      <c r="M62" s="48">
        <f t="shared" si="47"/>
        <v>-0.8989280842836499</v>
      </c>
      <c r="N62" s="6">
        <v>0.15</v>
      </c>
      <c r="O62" s="76"/>
      <c r="P62" s="68"/>
      <c r="Q62" s="68"/>
      <c r="R62" s="67"/>
      <c r="S62" s="67"/>
      <c r="T62" s="68"/>
      <c r="U62" s="68"/>
      <c r="V62" s="70"/>
      <c r="X62" s="80"/>
    </row>
  </sheetData>
  <mergeCells count="129">
    <mergeCell ref="V60:V62"/>
    <mergeCell ref="X60:X62"/>
    <mergeCell ref="U57:U59"/>
    <mergeCell ref="V57:V59"/>
    <mergeCell ref="X57:X59"/>
    <mergeCell ref="O60:O62"/>
    <mergeCell ref="P60:P62"/>
    <mergeCell ref="Q60:Q62"/>
    <mergeCell ref="R60:R62"/>
    <mergeCell ref="S60:S62"/>
    <mergeCell ref="T60:T62"/>
    <mergeCell ref="U60:U62"/>
    <mergeCell ref="O57:O59"/>
    <mergeCell ref="P57:P59"/>
    <mergeCell ref="Q57:Q59"/>
    <mergeCell ref="R57:R59"/>
    <mergeCell ref="S57:S59"/>
    <mergeCell ref="T57:T59"/>
    <mergeCell ref="O54:O56"/>
    <mergeCell ref="P54:P56"/>
    <mergeCell ref="Q54:Q56"/>
    <mergeCell ref="R54:R56"/>
    <mergeCell ref="S54:S56"/>
    <mergeCell ref="T54:T56"/>
    <mergeCell ref="U54:U56"/>
    <mergeCell ref="V54:V56"/>
    <mergeCell ref="X54:X56"/>
    <mergeCell ref="O51:O53"/>
    <mergeCell ref="P51:P53"/>
    <mergeCell ref="Q51:Q53"/>
    <mergeCell ref="R51:R53"/>
    <mergeCell ref="S51:S53"/>
    <mergeCell ref="T51:T53"/>
    <mergeCell ref="U51:U53"/>
    <mergeCell ref="V51:V53"/>
    <mergeCell ref="X51:X53"/>
    <mergeCell ref="O48:O50"/>
    <mergeCell ref="P48:P50"/>
    <mergeCell ref="Q48:Q50"/>
    <mergeCell ref="R48:R50"/>
    <mergeCell ref="S48:S50"/>
    <mergeCell ref="T48:T50"/>
    <mergeCell ref="U48:U50"/>
    <mergeCell ref="V48:V50"/>
    <mergeCell ref="X48:X50"/>
    <mergeCell ref="T42:T44"/>
    <mergeCell ref="U42:U44"/>
    <mergeCell ref="V42:V44"/>
    <mergeCell ref="X42:X44"/>
    <mergeCell ref="O45:O47"/>
    <mergeCell ref="P45:P47"/>
    <mergeCell ref="Q45:Q47"/>
    <mergeCell ref="R45:R47"/>
    <mergeCell ref="S45:S47"/>
    <mergeCell ref="T45:T47"/>
    <mergeCell ref="U45:U47"/>
    <mergeCell ref="V45:V47"/>
    <mergeCell ref="X45:X47"/>
    <mergeCell ref="U31:U33"/>
    <mergeCell ref="V31:V33"/>
    <mergeCell ref="X31:X33"/>
    <mergeCell ref="I9:K9"/>
    <mergeCell ref="I38:K38"/>
    <mergeCell ref="O42:O44"/>
    <mergeCell ref="P42:P44"/>
    <mergeCell ref="Q42:Q44"/>
    <mergeCell ref="R42:R44"/>
    <mergeCell ref="S42:S44"/>
    <mergeCell ref="O31:O33"/>
    <mergeCell ref="P31:P33"/>
    <mergeCell ref="Q31:Q33"/>
    <mergeCell ref="R31:R33"/>
    <mergeCell ref="S31:S33"/>
    <mergeCell ref="T31:T33"/>
    <mergeCell ref="X25:X27"/>
    <mergeCell ref="O28:O30"/>
    <mergeCell ref="P28:P30"/>
    <mergeCell ref="Q28:Q30"/>
    <mergeCell ref="R28:R30"/>
    <mergeCell ref="S28:S30"/>
    <mergeCell ref="T28:T30"/>
    <mergeCell ref="U28:U30"/>
    <mergeCell ref="V28:V30"/>
    <mergeCell ref="X28:X30"/>
    <mergeCell ref="V22:V24"/>
    <mergeCell ref="X22:X24"/>
    <mergeCell ref="O25:O27"/>
    <mergeCell ref="P25:P27"/>
    <mergeCell ref="Q25:Q27"/>
    <mergeCell ref="R25:R27"/>
    <mergeCell ref="S25:S27"/>
    <mergeCell ref="T25:T27"/>
    <mergeCell ref="U25:U27"/>
    <mergeCell ref="V25:V27"/>
    <mergeCell ref="U19:U21"/>
    <mergeCell ref="V19:V21"/>
    <mergeCell ref="X19:X21"/>
    <mergeCell ref="O22:O24"/>
    <mergeCell ref="P22:P24"/>
    <mergeCell ref="Q22:Q24"/>
    <mergeCell ref="R22:R24"/>
    <mergeCell ref="S22:S24"/>
    <mergeCell ref="T22:T24"/>
    <mergeCell ref="U22:U24"/>
    <mergeCell ref="O19:O21"/>
    <mergeCell ref="P19:P21"/>
    <mergeCell ref="Q19:Q21"/>
    <mergeCell ref="R19:R21"/>
    <mergeCell ref="S19:S21"/>
    <mergeCell ref="T19:T21"/>
    <mergeCell ref="C2:W3"/>
    <mergeCell ref="X13:X15"/>
    <mergeCell ref="O16:O18"/>
    <mergeCell ref="P16:P18"/>
    <mergeCell ref="Q16:Q18"/>
    <mergeCell ref="R16:R18"/>
    <mergeCell ref="S16:S18"/>
    <mergeCell ref="T16:T18"/>
    <mergeCell ref="U16:U18"/>
    <mergeCell ref="V16:V18"/>
    <mergeCell ref="X16:X18"/>
    <mergeCell ref="O13:O15"/>
    <mergeCell ref="P13:P15"/>
    <mergeCell ref="Q13:Q15"/>
    <mergeCell ref="R13:R15"/>
    <mergeCell ref="S13:S15"/>
    <mergeCell ref="T13:T15"/>
    <mergeCell ref="U13:U15"/>
    <mergeCell ref="V13:V15"/>
  </mergeCells>
  <conditionalFormatting sqref="F13:F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2:F6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7645-4B18-4983-B2CE-DD25ABADB3C0}">
  <dimension ref="C2:W30"/>
  <sheetViews>
    <sheetView workbookViewId="0">
      <selection activeCell="J7" sqref="J7"/>
    </sheetView>
  </sheetViews>
  <sheetFormatPr defaultRowHeight="15"/>
  <cols>
    <col min="3" max="3" width="11.28515625" customWidth="1"/>
    <col min="4" max="4" width="20.5703125" customWidth="1"/>
    <col min="7" max="7" width="9" bestFit="1" customWidth="1"/>
    <col min="10" max="10" width="10.5703125" bestFit="1" customWidth="1"/>
    <col min="23" max="23" width="9.5703125" bestFit="1" customWidth="1"/>
  </cols>
  <sheetData>
    <row r="2" spans="3:23" ht="26.25">
      <c r="C2" s="79" t="s">
        <v>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27"/>
      <c r="W2" s="27"/>
    </row>
    <row r="3" spans="3:23" ht="26.25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27"/>
      <c r="W3" s="27"/>
    </row>
    <row r="4" spans="3:23">
      <c r="S4" s="7"/>
      <c r="T4" s="7"/>
      <c r="U4" s="7"/>
      <c r="V4" s="7"/>
      <c r="W4" s="7"/>
    </row>
    <row r="5" spans="3:23">
      <c r="S5" s="7"/>
      <c r="T5" s="7"/>
      <c r="U5" s="7"/>
      <c r="V5" s="7"/>
      <c r="W5" s="7"/>
    </row>
    <row r="6" spans="3:23">
      <c r="S6" s="7"/>
      <c r="T6" s="7"/>
      <c r="U6" s="7"/>
      <c r="V6" s="7"/>
      <c r="W6" s="7"/>
    </row>
    <row r="7" spans="3:23">
      <c r="S7" s="7"/>
      <c r="T7" s="7"/>
      <c r="U7" s="7"/>
      <c r="V7" s="7"/>
      <c r="W7" s="7"/>
    </row>
    <row r="8" spans="3:23">
      <c r="S8" s="7"/>
      <c r="T8" s="7"/>
      <c r="U8" s="7"/>
      <c r="V8" s="7"/>
      <c r="W8" s="7"/>
    </row>
    <row r="9" spans="3:23">
      <c r="C9" s="7" t="s">
        <v>10</v>
      </c>
      <c r="D9" s="53" t="s">
        <v>57</v>
      </c>
      <c r="S9" s="7"/>
      <c r="T9" s="7">
        <f>AVERAGE(T13:T27,T37:T54)</f>
        <v>0.35294235750228942</v>
      </c>
      <c r="U9" s="7"/>
      <c r="V9" s="7"/>
      <c r="W9" s="7"/>
    </row>
    <row r="10" spans="3:23" ht="21">
      <c r="C10" s="1" t="s">
        <v>55</v>
      </c>
      <c r="E10" s="3"/>
      <c r="F10" s="1"/>
      <c r="G10" s="3"/>
      <c r="H10" s="3"/>
      <c r="I10" s="3"/>
      <c r="J10" s="3"/>
      <c r="K10" s="2"/>
      <c r="L10" s="3"/>
      <c r="M10" s="3"/>
      <c r="N10" s="3"/>
    </row>
    <row r="11" spans="3:23" ht="45">
      <c r="C11" s="13" t="s">
        <v>14</v>
      </c>
      <c r="D11" s="13" t="s">
        <v>15</v>
      </c>
      <c r="E11" s="8" t="s">
        <v>16</v>
      </c>
      <c r="F11" s="14" t="s">
        <v>17</v>
      </c>
      <c r="G11" s="14" t="s">
        <v>18</v>
      </c>
      <c r="H11" s="14" t="s">
        <v>19</v>
      </c>
      <c r="I11" s="14" t="s">
        <v>20</v>
      </c>
      <c r="J11" s="55" t="s">
        <v>21</v>
      </c>
      <c r="K11" s="14" t="s">
        <v>22</v>
      </c>
      <c r="L11" s="14" t="s">
        <v>23</v>
      </c>
      <c r="M11" s="4" t="s">
        <v>24</v>
      </c>
      <c r="N11" s="34" t="s">
        <v>25</v>
      </c>
      <c r="O11" s="34" t="s">
        <v>26</v>
      </c>
      <c r="P11" s="34" t="s">
        <v>27</v>
      </c>
      <c r="Q11" s="34" t="s">
        <v>28</v>
      </c>
      <c r="R11" s="34" t="s">
        <v>29</v>
      </c>
      <c r="S11" s="34" t="s">
        <v>30</v>
      </c>
      <c r="T11" s="34" t="s">
        <v>31</v>
      </c>
      <c r="U11" s="34" t="s">
        <v>32</v>
      </c>
      <c r="W11" s="34" t="s">
        <v>33</v>
      </c>
    </row>
    <row r="12" spans="3:23">
      <c r="C12" s="51" t="s">
        <v>45</v>
      </c>
      <c r="D12" s="15" t="s">
        <v>45</v>
      </c>
      <c r="E12" s="16" t="s">
        <v>45</v>
      </c>
      <c r="F12" s="17" t="s">
        <v>46</v>
      </c>
      <c r="G12" s="17" t="s">
        <v>47</v>
      </c>
      <c r="H12" s="17" t="s">
        <v>48</v>
      </c>
      <c r="I12" s="17" t="s">
        <v>49</v>
      </c>
      <c r="J12" s="56" t="s">
        <v>45</v>
      </c>
      <c r="K12" s="17" t="s">
        <v>46</v>
      </c>
      <c r="L12" s="17" t="s">
        <v>50</v>
      </c>
      <c r="M12" s="5" t="s">
        <v>50</v>
      </c>
      <c r="N12" s="35" t="s">
        <v>50</v>
      </c>
      <c r="O12" s="36"/>
      <c r="P12" s="36"/>
      <c r="Q12" s="36"/>
      <c r="R12" s="37" t="s">
        <v>50</v>
      </c>
      <c r="S12" s="22" t="s">
        <v>50</v>
      </c>
      <c r="T12" s="22" t="s">
        <v>50</v>
      </c>
      <c r="U12" s="22" t="s">
        <v>46</v>
      </c>
      <c r="W12" s="22" t="s">
        <v>45</v>
      </c>
    </row>
    <row r="13" spans="3:23">
      <c r="C13" s="10" t="s">
        <v>58</v>
      </c>
      <c r="D13" s="50">
        <v>45482.354780092603</v>
      </c>
      <c r="E13" s="9">
        <v>1</v>
      </c>
      <c r="F13" s="47">
        <v>397.751058627948</v>
      </c>
      <c r="G13" s="47">
        <v>38.383383084293854</v>
      </c>
      <c r="H13" s="47">
        <v>20.103082251562999</v>
      </c>
      <c r="I13" s="47">
        <v>44.3513919543973</v>
      </c>
      <c r="J13" s="57">
        <v>3372716.8100640699</v>
      </c>
      <c r="K13" s="47">
        <v>399.29376157763102</v>
      </c>
      <c r="L13" s="48">
        <f t="shared" ref="L13:L30" si="0">(K13-F13)/F13*100</f>
        <v>0.38785640319968229</v>
      </c>
      <c r="M13" s="6">
        <v>0.35</v>
      </c>
      <c r="N13" s="76">
        <f>AVERAGE(L13:L15)</f>
        <v>0.38223570158056758</v>
      </c>
      <c r="O13" s="68">
        <f>STDEV(L13:L15)</f>
        <v>5.6957446882903188E-3</v>
      </c>
      <c r="P13" s="68">
        <f>COUNT(M13:M15)</f>
        <v>3</v>
      </c>
      <c r="Q13" s="67">
        <f>TINV(0.05,P13-1)</f>
        <v>4.3026527297494637</v>
      </c>
      <c r="R13" s="67">
        <f>O13*Q13/SQRT(P13)</f>
        <v>1.4149014176683615E-2</v>
      </c>
      <c r="S13" s="68">
        <f>AVERAGE(M13:M15)</f>
        <v>0.34999999999999992</v>
      </c>
      <c r="T13" s="68">
        <f>SQRT(R13^2+S13^2)</f>
        <v>0.3502858755390687</v>
      </c>
      <c r="U13" s="70">
        <f>AVERAGE(F13:F15)</f>
        <v>397.74082709276036</v>
      </c>
      <c r="W13" s="80">
        <f>AVERAGE(J13:J15)</f>
        <v>3374042.9926954769</v>
      </c>
    </row>
    <row r="14" spans="3:23">
      <c r="C14" s="10" t="s">
        <v>58</v>
      </c>
      <c r="D14" s="50">
        <v>45482.361585648097</v>
      </c>
      <c r="E14" s="9">
        <v>2</v>
      </c>
      <c r="F14" s="47">
        <v>397.73505081615502</v>
      </c>
      <c r="G14" s="47">
        <v>38.381986001144618</v>
      </c>
      <c r="H14" s="47">
        <v>20.010101845156001</v>
      </c>
      <c r="I14" s="47">
        <v>44.365173753058798</v>
      </c>
      <c r="J14" s="57">
        <v>3374385.71855446</v>
      </c>
      <c r="K14" s="47">
        <v>399.25592176896401</v>
      </c>
      <c r="L14" s="48">
        <f t="shared" si="0"/>
        <v>0.38238293298218345</v>
      </c>
      <c r="M14" s="6">
        <v>0.35</v>
      </c>
      <c r="N14" s="76"/>
      <c r="O14" s="68"/>
      <c r="P14" s="68"/>
      <c r="Q14" s="67"/>
      <c r="R14" s="67"/>
      <c r="S14" s="68"/>
      <c r="T14" s="68"/>
      <c r="U14" s="70"/>
      <c r="W14" s="80"/>
    </row>
    <row r="15" spans="3:23">
      <c r="C15" s="10" t="s">
        <v>58</v>
      </c>
      <c r="D15" s="50">
        <v>45482.3683564815</v>
      </c>
      <c r="E15" s="9">
        <v>3</v>
      </c>
      <c r="F15" s="47">
        <v>397.73637183417799</v>
      </c>
      <c r="G15" s="47">
        <v>38.386259639037718</v>
      </c>
      <c r="H15" s="47">
        <v>19.997118027633</v>
      </c>
      <c r="I15" s="47">
        <v>44.372275459814901</v>
      </c>
      <c r="J15" s="57">
        <v>3375026.4494679002</v>
      </c>
      <c r="K15" s="47">
        <v>399.23372107797297</v>
      </c>
      <c r="L15" s="48">
        <f t="shared" si="0"/>
        <v>0.37646776855983699</v>
      </c>
      <c r="M15" s="6">
        <v>0.35</v>
      </c>
      <c r="N15" s="76"/>
      <c r="O15" s="68"/>
      <c r="P15" s="68"/>
      <c r="Q15" s="67"/>
      <c r="R15" s="67"/>
      <c r="S15" s="68"/>
      <c r="T15" s="68"/>
      <c r="U15" s="70"/>
      <c r="W15" s="80"/>
    </row>
    <row r="16" spans="3:23">
      <c r="C16" s="10" t="s">
        <v>58</v>
      </c>
      <c r="D16" s="50">
        <v>45482.376550925903</v>
      </c>
      <c r="E16" s="9">
        <v>4</v>
      </c>
      <c r="F16" s="47">
        <v>332.85424502679598</v>
      </c>
      <c r="G16" s="47">
        <v>38.376108339201238</v>
      </c>
      <c r="H16" s="47">
        <v>19.972625296541999</v>
      </c>
      <c r="I16" s="47">
        <v>44.364574827139499</v>
      </c>
      <c r="J16" s="57">
        <v>2824170.16807131</v>
      </c>
      <c r="K16" s="47">
        <v>334.01962757115598</v>
      </c>
      <c r="L16" s="48">
        <f t="shared" si="0"/>
        <v>0.350117975592044</v>
      </c>
      <c r="M16" s="6">
        <v>0.35</v>
      </c>
      <c r="N16" s="76">
        <f t="shared" ref="N16" si="1">AVERAGE(L16:L18)</f>
        <v>0.33152961617072191</v>
      </c>
      <c r="O16" s="68">
        <f t="shared" ref="O16" si="2">STDEV(L16:L18)</f>
        <v>1.6285407439755293E-2</v>
      </c>
      <c r="P16" s="68">
        <f t="shared" ref="P16" si="3">COUNT(M16:M18)</f>
        <v>3</v>
      </c>
      <c r="Q16" s="67">
        <f t="shared" ref="Q16" si="4">TINV(0.05,P16-1)</f>
        <v>4.3026527297494637</v>
      </c>
      <c r="R16" s="67">
        <f t="shared" ref="R16" si="5">O16*Q16/SQRT(P16)</f>
        <v>4.0455194772315531E-2</v>
      </c>
      <c r="S16" s="68">
        <f t="shared" ref="S16" si="6">AVERAGE(M16:M18)</f>
        <v>0.34999999999999992</v>
      </c>
      <c r="T16" s="68">
        <f t="shared" ref="T16" si="7">SQRT(R16^2+S16^2)</f>
        <v>0.35233027514544635</v>
      </c>
      <c r="U16" s="70">
        <f>AVERAGE(F16:F18)</f>
        <v>332.91797274378035</v>
      </c>
      <c r="W16" s="80">
        <f t="shared" ref="W16" si="8">AVERAGE(J16:J18)</f>
        <v>2823987.2695673234</v>
      </c>
    </row>
    <row r="17" spans="3:23">
      <c r="C17" s="10" t="s">
        <v>58</v>
      </c>
      <c r="D17" s="50">
        <v>45482.383206018501</v>
      </c>
      <c r="E17" s="9">
        <v>5</v>
      </c>
      <c r="F17" s="47">
        <v>332.94927984466398</v>
      </c>
      <c r="G17" s="47">
        <v>38.37507448460957</v>
      </c>
      <c r="H17" s="47">
        <v>20.020278673027001</v>
      </c>
      <c r="I17" s="47">
        <v>44.3554824399829</v>
      </c>
      <c r="J17" s="57">
        <v>2824078.2163008898</v>
      </c>
      <c r="K17" s="47">
        <v>334.01395797872198</v>
      </c>
      <c r="L17" s="48">
        <f t="shared" si="0"/>
        <v>0.31977186872268354</v>
      </c>
      <c r="M17" s="6">
        <v>0.35</v>
      </c>
      <c r="N17" s="76"/>
      <c r="O17" s="68"/>
      <c r="P17" s="68"/>
      <c r="Q17" s="67"/>
      <c r="R17" s="67"/>
      <c r="S17" s="68"/>
      <c r="T17" s="68"/>
      <c r="U17" s="70"/>
      <c r="W17" s="80"/>
    </row>
    <row r="18" spans="3:23">
      <c r="C18" s="10" t="s">
        <v>58</v>
      </c>
      <c r="D18" s="50">
        <v>45482.390150462998</v>
      </c>
      <c r="E18" s="9">
        <v>6</v>
      </c>
      <c r="F18" s="47">
        <v>332.95039335988099</v>
      </c>
      <c r="G18" s="47">
        <v>38.371351220628597</v>
      </c>
      <c r="H18" s="47">
        <v>20.02669400501</v>
      </c>
      <c r="I18" s="47">
        <v>44.350107494769603</v>
      </c>
      <c r="J18" s="57">
        <v>2823713.4243297698</v>
      </c>
      <c r="K18" s="47">
        <v>334.03147997159198</v>
      </c>
      <c r="L18" s="48">
        <f t="shared" si="0"/>
        <v>0.32469900419743813</v>
      </c>
      <c r="M18" s="6">
        <v>0.35</v>
      </c>
      <c r="N18" s="76"/>
      <c r="O18" s="68"/>
      <c r="P18" s="68"/>
      <c r="Q18" s="67"/>
      <c r="R18" s="67"/>
      <c r="S18" s="68"/>
      <c r="T18" s="68"/>
      <c r="U18" s="70"/>
      <c r="W18" s="80"/>
    </row>
    <row r="19" spans="3:23">
      <c r="C19" s="10" t="s">
        <v>58</v>
      </c>
      <c r="D19" s="50">
        <v>45482.398900462998</v>
      </c>
      <c r="E19" s="9">
        <v>7</v>
      </c>
      <c r="F19" s="47">
        <v>191.27853179439199</v>
      </c>
      <c r="G19" s="47">
        <v>38.360911897056148</v>
      </c>
      <c r="H19" s="47">
        <v>20.050846279447001</v>
      </c>
      <c r="I19" s="47">
        <v>44.334018148025997</v>
      </c>
      <c r="J19" s="57">
        <v>1621546.8910165201</v>
      </c>
      <c r="K19" s="47">
        <v>191.782310541616</v>
      </c>
      <c r="L19" s="48">
        <f t="shared" si="0"/>
        <v>0.26337443229934604</v>
      </c>
      <c r="M19" s="6">
        <v>0.35</v>
      </c>
      <c r="N19" s="76">
        <f t="shared" ref="N19" si="9">AVERAGE(L19:L21)</f>
        <v>0.26115579313967469</v>
      </c>
      <c r="O19" s="68">
        <f t="shared" ref="O19" si="10">STDEV(L19:L21)</f>
        <v>6.0128299716802388E-3</v>
      </c>
      <c r="P19" s="68">
        <f t="shared" ref="P19" si="11">COUNT(M19:M21)</f>
        <v>3</v>
      </c>
      <c r="Q19" s="67">
        <f t="shared" ref="Q19" si="12">TINV(0.05,P19-1)</f>
        <v>4.3026527297494637</v>
      </c>
      <c r="R19" s="67">
        <f t="shared" ref="R19" si="13">O19*Q19/SQRT(P19)</f>
        <v>1.4936697686993558E-2</v>
      </c>
      <c r="S19" s="68">
        <f t="shared" ref="S19" si="14">AVERAGE(M19:M21)</f>
        <v>0.34999999999999992</v>
      </c>
      <c r="T19" s="68">
        <f t="shared" ref="T19" si="15">SQRT(R19^2+S19^2)</f>
        <v>0.35031857635271441</v>
      </c>
      <c r="U19" s="70">
        <f>AVERAGE(F19:F21)</f>
        <v>191.276308771511</v>
      </c>
      <c r="W19" s="80">
        <f t="shared" ref="W19" si="16">AVERAGE(J19:J21)</f>
        <v>1620957.4377295736</v>
      </c>
    </row>
    <row r="20" spans="3:23">
      <c r="C20" s="10" t="s">
        <v>58</v>
      </c>
      <c r="D20" s="50">
        <v>45482.409884259301</v>
      </c>
      <c r="E20" s="9">
        <v>8</v>
      </c>
      <c r="F20" s="47">
        <v>191.26270840275501</v>
      </c>
      <c r="G20" s="47">
        <v>38.335375341844504</v>
      </c>
      <c r="H20" s="47">
        <v>20.019448302859999</v>
      </c>
      <c r="I20" s="47">
        <v>44.309638249061202</v>
      </c>
      <c r="J20" s="57">
        <v>1620687.8400840799</v>
      </c>
      <c r="K20" s="47">
        <v>191.77097766637499</v>
      </c>
      <c r="L20" s="48">
        <f t="shared" si="0"/>
        <v>0.26574404799794116</v>
      </c>
      <c r="M20" s="6">
        <v>0.35</v>
      </c>
      <c r="N20" s="76"/>
      <c r="O20" s="68"/>
      <c r="P20" s="68"/>
      <c r="Q20" s="67"/>
      <c r="R20" s="67"/>
      <c r="S20" s="68"/>
      <c r="T20" s="68"/>
      <c r="U20" s="70"/>
      <c r="W20" s="80"/>
    </row>
    <row r="21" spans="3:23">
      <c r="C21" s="10" t="s">
        <v>58</v>
      </c>
      <c r="D21" s="50">
        <v>45482.424467592602</v>
      </c>
      <c r="E21" s="9">
        <v>10</v>
      </c>
      <c r="F21" s="47">
        <v>191.28768611738599</v>
      </c>
      <c r="G21" s="47">
        <v>38.314283125947718</v>
      </c>
      <c r="H21" s="47">
        <v>19.959577427168998</v>
      </c>
      <c r="I21" s="47">
        <v>44.295110367176299</v>
      </c>
      <c r="J21" s="57">
        <v>1620637.58208812</v>
      </c>
      <c r="K21" s="47">
        <v>191.774224241181</v>
      </c>
      <c r="L21" s="48">
        <f t="shared" si="0"/>
        <v>0.25434889912173675</v>
      </c>
      <c r="M21" s="6">
        <v>0.35</v>
      </c>
      <c r="N21" s="76"/>
      <c r="O21" s="68"/>
      <c r="P21" s="68"/>
      <c r="Q21" s="67"/>
      <c r="R21" s="67"/>
      <c r="S21" s="68"/>
      <c r="T21" s="68"/>
      <c r="U21" s="70"/>
      <c r="W21" s="80"/>
    </row>
    <row r="22" spans="3:23">
      <c r="C22" s="10" t="s">
        <v>58</v>
      </c>
      <c r="D22" s="50">
        <v>45482.434641203698</v>
      </c>
      <c r="E22" s="9">
        <v>11</v>
      </c>
      <c r="F22" s="47">
        <v>95.058223053511696</v>
      </c>
      <c r="G22" s="47">
        <v>38.310172710520966</v>
      </c>
      <c r="H22" s="47">
        <v>19.983382901809001</v>
      </c>
      <c r="I22" s="47">
        <v>44.286410862442303</v>
      </c>
      <c r="J22" s="57">
        <v>805156.74058156402</v>
      </c>
      <c r="K22" s="47">
        <v>95.147121444532999</v>
      </c>
      <c r="L22" s="48">
        <f t="shared" si="0"/>
        <v>9.3519937745163526E-2</v>
      </c>
      <c r="M22" s="6">
        <v>0.35</v>
      </c>
      <c r="N22" s="76">
        <f t="shared" ref="N22" si="17">AVERAGE(L22:L24)</f>
        <v>0.11071241530429339</v>
      </c>
      <c r="O22" s="68">
        <f t="shared" ref="O22" si="18">STDEV(L22:L24)</f>
        <v>1.6484267175741845E-2</v>
      </c>
      <c r="P22" s="68">
        <f t="shared" ref="P22" si="19">COUNT(M22:M24)</f>
        <v>3</v>
      </c>
      <c r="Q22" s="67">
        <f t="shared" ref="Q22" si="20">TINV(0.05,P22-1)</f>
        <v>4.3026527297494637</v>
      </c>
      <c r="R22" s="67">
        <f t="shared" ref="R22" si="21">O22*Q22/SQRT(P22)</f>
        <v>4.0949189741828443E-2</v>
      </c>
      <c r="S22" s="68">
        <f t="shared" ref="S22" si="22">AVERAGE(M22:M24)</f>
        <v>0.34999999999999992</v>
      </c>
      <c r="T22" s="68">
        <f t="shared" ref="T22" si="23">SQRT(R22^2+S22^2)</f>
        <v>0.35238733822388146</v>
      </c>
      <c r="U22" s="70">
        <f>AVERAGE(F22:F24)</f>
        <v>95.035126650903365</v>
      </c>
      <c r="W22" s="80">
        <f t="shared" ref="W22" si="24">AVERAGE(J22:J24)</f>
        <v>804711.73423819558</v>
      </c>
    </row>
    <row r="23" spans="3:23">
      <c r="C23" s="10" t="s">
        <v>58</v>
      </c>
      <c r="D23" s="50">
        <v>45482.448402777802</v>
      </c>
      <c r="E23" s="9">
        <v>12</v>
      </c>
      <c r="F23" s="47">
        <v>95.029028748220696</v>
      </c>
      <c r="G23" s="47">
        <v>38.298035151144084</v>
      </c>
      <c r="H23" s="47">
        <v>19.990123350891999</v>
      </c>
      <c r="I23" s="47">
        <v>44.271236019992699</v>
      </c>
      <c r="J23" s="57">
        <v>804631.23148141499</v>
      </c>
      <c r="K23" s="47">
        <v>95.135684006446297</v>
      </c>
      <c r="L23" s="48">
        <f t="shared" si="0"/>
        <v>0.1122343978787617</v>
      </c>
      <c r="M23" s="6">
        <v>0.35</v>
      </c>
      <c r="N23" s="76"/>
      <c r="O23" s="68"/>
      <c r="P23" s="68"/>
      <c r="Q23" s="67"/>
      <c r="R23" s="67"/>
      <c r="S23" s="68"/>
      <c r="T23" s="68"/>
      <c r="U23" s="70"/>
      <c r="W23" s="80"/>
    </row>
    <row r="24" spans="3:23">
      <c r="C24" s="10" t="s">
        <v>58</v>
      </c>
      <c r="D24" s="50">
        <v>45482.461562500001</v>
      </c>
      <c r="E24" s="9">
        <v>13</v>
      </c>
      <c r="F24" s="47">
        <v>95.018128150977702</v>
      </c>
      <c r="G24" s="47">
        <v>38.290974082248859</v>
      </c>
      <c r="H24" s="47">
        <v>20.000101164638</v>
      </c>
      <c r="I24" s="47">
        <v>44.261407372856397</v>
      </c>
      <c r="J24" s="57">
        <v>804347.23065160797</v>
      </c>
      <c r="K24" s="47">
        <v>95.138214826636997</v>
      </c>
      <c r="L24" s="48">
        <f t="shared" si="0"/>
        <v>0.12638291028895499</v>
      </c>
      <c r="M24" s="6">
        <v>0.35</v>
      </c>
      <c r="N24" s="76"/>
      <c r="O24" s="68"/>
      <c r="P24" s="68"/>
      <c r="Q24" s="67"/>
      <c r="R24" s="67"/>
      <c r="S24" s="68"/>
      <c r="T24" s="68"/>
      <c r="U24" s="70"/>
      <c r="W24" s="80"/>
    </row>
    <row r="25" spans="3:23">
      <c r="C25" s="10" t="s">
        <v>58</v>
      </c>
      <c r="D25" s="50">
        <v>45482.476446759298</v>
      </c>
      <c r="E25" s="9">
        <v>14</v>
      </c>
      <c r="F25" s="47">
        <v>48.191323567080197</v>
      </c>
      <c r="G25" s="47">
        <v>38.283203305194945</v>
      </c>
      <c r="H25" s="47">
        <v>19.948836252258999</v>
      </c>
      <c r="I25" s="47">
        <v>44.2608786507151</v>
      </c>
      <c r="J25" s="57">
        <v>407997.77000833303</v>
      </c>
      <c r="K25" s="47">
        <v>48.163751526674403</v>
      </c>
      <c r="L25" s="48">
        <f t="shared" si="0"/>
        <v>-5.7213702311816494E-2</v>
      </c>
      <c r="M25" s="6">
        <v>0.35</v>
      </c>
      <c r="N25" s="76">
        <f>AVERAGE(L25:L27)</f>
        <v>-2.196888692994119E-2</v>
      </c>
      <c r="O25" s="68">
        <f t="shared" ref="O25" si="25">STDEV(L25:L27)</f>
        <v>3.2854370553044722E-2</v>
      </c>
      <c r="P25" s="68">
        <f t="shared" ref="P25" si="26">COUNT(M25:M27)</f>
        <v>3</v>
      </c>
      <c r="Q25" s="67">
        <f t="shared" ref="Q25" si="27">TINV(0.05,P25-1)</f>
        <v>4.3026527297494637</v>
      </c>
      <c r="R25" s="67">
        <f t="shared" ref="R25" si="28">O25*Q25/SQRT(P25)</f>
        <v>8.1614780886637969E-2</v>
      </c>
      <c r="S25" s="68">
        <f t="shared" ref="S25" si="29">AVERAGE(M25:M27)</f>
        <v>0.34999999999999992</v>
      </c>
      <c r="T25" s="68">
        <f t="shared" ref="T25" si="30">SQRT(R25^2+S25^2)</f>
        <v>0.35938972225033633</v>
      </c>
      <c r="U25" s="70">
        <f>AVERAGE(F25:F27)</f>
        <v>48.173859477877066</v>
      </c>
      <c r="W25" s="80">
        <f t="shared" ref="W25" si="31">AVERAGE(J25:J27)</f>
        <v>407768.65340377233</v>
      </c>
    </row>
    <row r="26" spans="3:23">
      <c r="C26" s="10" t="s">
        <v>58</v>
      </c>
      <c r="D26" s="50">
        <v>45482.489699074104</v>
      </c>
      <c r="E26" s="9">
        <v>15</v>
      </c>
      <c r="F26" s="47">
        <v>48.170430933190602</v>
      </c>
      <c r="G26" s="47">
        <v>38.276976917994858</v>
      </c>
      <c r="H26" s="47">
        <v>19.941677101151001</v>
      </c>
      <c r="I26" s="47">
        <v>44.254848080169602</v>
      </c>
      <c r="J26" s="57">
        <v>407775.07083414798</v>
      </c>
      <c r="K26" s="47">
        <v>48.162481745229101</v>
      </c>
      <c r="L26" s="48">
        <f t="shared" si="0"/>
        <v>-1.6502214756030729E-2</v>
      </c>
      <c r="M26" s="6">
        <v>0.35</v>
      </c>
      <c r="N26" s="76"/>
      <c r="O26" s="68"/>
      <c r="P26" s="68"/>
      <c r="Q26" s="67"/>
      <c r="R26" s="67"/>
      <c r="S26" s="68"/>
      <c r="T26" s="68"/>
      <c r="U26" s="70"/>
      <c r="W26" s="80"/>
    </row>
    <row r="27" spans="3:23">
      <c r="C27" s="10" t="s">
        <v>58</v>
      </c>
      <c r="D27" s="50">
        <v>45482.503043981502</v>
      </c>
      <c r="E27" s="9">
        <v>16</v>
      </c>
      <c r="F27" s="47">
        <v>48.1598239333604</v>
      </c>
      <c r="G27" s="47">
        <v>38.282737308894596</v>
      </c>
      <c r="H27" s="47">
        <v>20.026139912559</v>
      </c>
      <c r="I27" s="47">
        <v>44.2475642694912</v>
      </c>
      <c r="J27" s="57">
        <v>407533.11936883599</v>
      </c>
      <c r="K27" s="47">
        <v>48.163584857434401</v>
      </c>
      <c r="L27" s="48">
        <f t="shared" si="0"/>
        <v>7.8092562780236472E-3</v>
      </c>
      <c r="M27" s="6">
        <v>0.35</v>
      </c>
      <c r="N27" s="76"/>
      <c r="O27" s="68"/>
      <c r="P27" s="68"/>
      <c r="Q27" s="67"/>
      <c r="R27" s="67"/>
      <c r="S27" s="68"/>
      <c r="T27" s="68"/>
      <c r="U27" s="70"/>
      <c r="W27" s="80"/>
    </row>
    <row r="28" spans="3:23">
      <c r="C28" s="10" t="s">
        <v>58</v>
      </c>
      <c r="D28" s="50">
        <v>45482.517361111102</v>
      </c>
      <c r="E28" s="9">
        <v>17</v>
      </c>
      <c r="F28" s="47">
        <v>24.642362545405199</v>
      </c>
      <c r="G28" s="47">
        <v>38.278864526772374</v>
      </c>
      <c r="H28" s="47">
        <v>20.001442925327002</v>
      </c>
      <c r="I28" s="47">
        <v>44.2471585649809</v>
      </c>
      <c r="J28" s="57">
        <v>208537.37711356001</v>
      </c>
      <c r="K28" s="47">
        <v>24.557526358260201</v>
      </c>
      <c r="L28" s="48">
        <f t="shared" si="0"/>
        <v>-0.34426969812119707</v>
      </c>
      <c r="M28" s="6">
        <v>0.35</v>
      </c>
      <c r="N28" s="76">
        <f>AVERAGE(L28:L30)</f>
        <v>-0.25623189928932377</v>
      </c>
      <c r="O28" s="68">
        <f t="shared" ref="O28" si="32">STDEV(L28:L30)</f>
        <v>7.6635121761437483E-2</v>
      </c>
      <c r="P28" s="68">
        <f t="shared" ref="P28" si="33">COUNT(M28:M30)</f>
        <v>3</v>
      </c>
      <c r="Q28" s="67">
        <f t="shared" ref="Q28" si="34">TINV(0.05,P28-1)</f>
        <v>4.3026527297494637</v>
      </c>
      <c r="R28" s="67">
        <f t="shared" ref="R28" si="35">O28*Q28/SQRT(P28)</f>
        <v>0.19037219601216532</v>
      </c>
      <c r="S28" s="68">
        <f t="shared" ref="S28" si="36">AVERAGE(M28:M30)</f>
        <v>0.34999999999999992</v>
      </c>
      <c r="T28" s="68">
        <f t="shared" ref="T28" si="37">SQRT(R28^2+S28^2)</f>
        <v>0.39842386100043536</v>
      </c>
      <c r="U28" s="70">
        <f>AVERAGE(F28:F30)</f>
        <v>24.610299835618434</v>
      </c>
      <c r="W28" s="80">
        <f t="shared" ref="W28" si="38">AVERAGE(J28:J30)</f>
        <v>208264.42490755231</v>
      </c>
    </row>
    <row r="29" spans="3:23">
      <c r="C29" s="10" t="s">
        <v>58</v>
      </c>
      <c r="D29" s="50">
        <v>45482.5311574074</v>
      </c>
      <c r="E29" s="9">
        <v>18</v>
      </c>
      <c r="F29" s="47">
        <v>24.599128110015901</v>
      </c>
      <c r="G29" s="47">
        <v>38.272608705154489</v>
      </c>
      <c r="H29" s="47">
        <v>19.973318579263999</v>
      </c>
      <c r="I29" s="47">
        <v>44.244558397088099</v>
      </c>
      <c r="J29" s="57">
        <v>208174.71363273601</v>
      </c>
      <c r="K29" s="47">
        <v>24.545020894376801</v>
      </c>
      <c r="L29" s="48">
        <f t="shared" si="0"/>
        <v>-0.21995582687773813</v>
      </c>
      <c r="M29" s="6">
        <v>0.35</v>
      </c>
      <c r="N29" s="76"/>
      <c r="O29" s="68"/>
      <c r="P29" s="68"/>
      <c r="Q29" s="67"/>
      <c r="R29" s="67"/>
      <c r="S29" s="68"/>
      <c r="T29" s="68"/>
      <c r="U29" s="70"/>
      <c r="W29" s="80"/>
    </row>
    <row r="30" spans="3:23">
      <c r="C30" s="10" t="s">
        <v>58</v>
      </c>
      <c r="D30" s="50">
        <v>45482.544305555602</v>
      </c>
      <c r="E30" s="9">
        <v>19</v>
      </c>
      <c r="F30" s="47">
        <v>24.5894088514342</v>
      </c>
      <c r="G30" s="47">
        <v>38.26755442195406</v>
      </c>
      <c r="H30" s="47">
        <v>19.961466239587999</v>
      </c>
      <c r="I30" s="47">
        <v>44.240661207833398</v>
      </c>
      <c r="J30" s="57">
        <v>208081.183976361</v>
      </c>
      <c r="K30" s="47">
        <v>24.539130844648199</v>
      </c>
      <c r="L30" s="48">
        <f t="shared" si="0"/>
        <v>-0.20447017286903615</v>
      </c>
      <c r="M30" s="6">
        <v>0.35</v>
      </c>
      <c r="N30" s="76"/>
      <c r="O30" s="68"/>
      <c r="P30" s="68"/>
      <c r="Q30" s="67"/>
      <c r="R30" s="67"/>
      <c r="S30" s="68"/>
      <c r="T30" s="68"/>
      <c r="U30" s="70"/>
      <c r="W30" s="80"/>
    </row>
  </sheetData>
  <mergeCells count="55">
    <mergeCell ref="S13:S15"/>
    <mergeCell ref="T13:T15"/>
    <mergeCell ref="U13:U15"/>
    <mergeCell ref="W13:W15"/>
    <mergeCell ref="C2:U3"/>
    <mergeCell ref="N13:N15"/>
    <mergeCell ref="O13:O15"/>
    <mergeCell ref="P13:P15"/>
    <mergeCell ref="Q13:Q15"/>
    <mergeCell ref="R13:R15"/>
    <mergeCell ref="T16:T18"/>
    <mergeCell ref="U16:U18"/>
    <mergeCell ref="W16:W18"/>
    <mergeCell ref="N19:N21"/>
    <mergeCell ref="O19:O21"/>
    <mergeCell ref="P19:P21"/>
    <mergeCell ref="Q19:Q21"/>
    <mergeCell ref="R19:R21"/>
    <mergeCell ref="S19:S21"/>
    <mergeCell ref="T19:T21"/>
    <mergeCell ref="N16:N18"/>
    <mergeCell ref="O16:O18"/>
    <mergeCell ref="P16:P18"/>
    <mergeCell ref="Q16:Q18"/>
    <mergeCell ref="R16:R18"/>
    <mergeCell ref="S16:S18"/>
    <mergeCell ref="U19:U21"/>
    <mergeCell ref="W19:W21"/>
    <mergeCell ref="N22:N24"/>
    <mergeCell ref="O22:O24"/>
    <mergeCell ref="P22:P24"/>
    <mergeCell ref="Q22:Q24"/>
    <mergeCell ref="R22:R24"/>
    <mergeCell ref="S22:S24"/>
    <mergeCell ref="T22:T24"/>
    <mergeCell ref="U22:U24"/>
    <mergeCell ref="W22:W24"/>
    <mergeCell ref="S25:S27"/>
    <mergeCell ref="T25:T27"/>
    <mergeCell ref="U25:U27"/>
    <mergeCell ref="W25:W27"/>
    <mergeCell ref="N25:N27"/>
    <mergeCell ref="O25:O27"/>
    <mergeCell ref="P25:P27"/>
    <mergeCell ref="Q25:Q27"/>
    <mergeCell ref="R25:R27"/>
    <mergeCell ref="S28:S30"/>
    <mergeCell ref="T28:T30"/>
    <mergeCell ref="U28:U30"/>
    <mergeCell ref="W28:W30"/>
    <mergeCell ref="N28:N30"/>
    <mergeCell ref="O28:O30"/>
    <mergeCell ref="P28:P30"/>
    <mergeCell ref="Q28:Q30"/>
    <mergeCell ref="R28:R30"/>
  </mergeCells>
  <phoneticPr fontId="14" type="noConversion"/>
  <conditionalFormatting sqref="F13:F30"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5AA0-D484-4946-807A-C95171703D1D}">
  <dimension ref="C8:F21"/>
  <sheetViews>
    <sheetView workbookViewId="0">
      <selection activeCell="L31" sqref="L31"/>
    </sheetView>
  </sheetViews>
  <sheetFormatPr defaultRowHeight="15"/>
  <cols>
    <col min="3" max="3" width="11.5703125" bestFit="1" customWidth="1"/>
  </cols>
  <sheetData>
    <row r="8" spans="3:6">
      <c r="C8" s="21">
        <v>0</v>
      </c>
      <c r="D8">
        <v>1</v>
      </c>
      <c r="E8">
        <v>1.2</v>
      </c>
    </row>
    <row r="9" spans="3:6">
      <c r="C9" s="21">
        <v>450</v>
      </c>
      <c r="D9">
        <v>1</v>
      </c>
      <c r="E9">
        <v>1.2</v>
      </c>
    </row>
    <row r="12" spans="3:6">
      <c r="C12" t="s">
        <v>59</v>
      </c>
    </row>
    <row r="13" spans="3:6">
      <c r="C13" s="40">
        <v>450</v>
      </c>
      <c r="D13">
        <v>0</v>
      </c>
      <c r="E13" s="12">
        <f>Data!T9</f>
        <v>0.35905456970041594</v>
      </c>
      <c r="F13" t="s">
        <v>2</v>
      </c>
    </row>
    <row r="14" spans="3:6">
      <c r="C14" s="40">
        <f>C13+20</f>
        <v>470</v>
      </c>
      <c r="D14">
        <v>0</v>
      </c>
      <c r="E14" s="12">
        <f>Data!AQ9</f>
        <v>0.15119369929922344</v>
      </c>
      <c r="F14" t="s">
        <v>60</v>
      </c>
    </row>
    <row r="15" spans="3:6">
      <c r="C15" s="40">
        <f>C14+20</f>
        <v>490</v>
      </c>
      <c r="D15">
        <v>0</v>
      </c>
      <c r="E15" s="12">
        <f>Data!BM9</f>
        <v>0.23395912494736884</v>
      </c>
      <c r="F15" t="s">
        <v>4</v>
      </c>
    </row>
    <row r="16" spans="3:6">
      <c r="C16" s="21"/>
    </row>
    <row r="17" spans="3:6">
      <c r="C17" t="s">
        <v>61</v>
      </c>
    </row>
    <row r="18" spans="3:6">
      <c r="C18" s="21">
        <f>7500000</f>
        <v>7500000</v>
      </c>
      <c r="D18">
        <v>0</v>
      </c>
      <c r="E18" s="12">
        <f>Data!T14</f>
        <v>0</v>
      </c>
      <c r="F18" t="s">
        <v>2</v>
      </c>
    </row>
    <row r="19" spans="3:6">
      <c r="C19" s="21">
        <f>C18+200000</f>
        <v>7700000</v>
      </c>
      <c r="D19">
        <v>0</v>
      </c>
      <c r="E19" s="12">
        <f>Data!AQ14</f>
        <v>0</v>
      </c>
      <c r="F19" t="s">
        <v>60</v>
      </c>
    </row>
    <row r="20" spans="3:6">
      <c r="C20" s="21">
        <f>C19+200000</f>
        <v>7900000</v>
      </c>
      <c r="D20">
        <v>0</v>
      </c>
      <c r="E20" s="12">
        <f>Data!BM14</f>
        <v>0</v>
      </c>
      <c r="F20" t="s">
        <v>4</v>
      </c>
    </row>
    <row r="21" spans="3:6">
      <c r="C21" s="21"/>
      <c r="E21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9A29A0F06646A03FB8B2AC9D351B" ma:contentTypeVersion="15" ma:contentTypeDescription="Create a new document." ma:contentTypeScope="" ma:versionID="2d5e882f3ea48576f05d838933caa2b5">
  <xsd:schema xmlns:xsd="http://www.w3.org/2001/XMLSchema" xmlns:xs="http://www.w3.org/2001/XMLSchema" xmlns:p="http://schemas.microsoft.com/office/2006/metadata/properties" xmlns:ns2="6e620101-b500-4b9b-b2ff-9afacfd9d2a6" xmlns:ns3="ff648953-9008-4c41-b763-7456227eae4a" targetNamespace="http://schemas.microsoft.com/office/2006/metadata/properties" ma:root="true" ma:fieldsID="b4f22f41eafae4a2a6773aacfeb07832" ns2:_="" ns3:_="">
    <xsd:import namespace="6e620101-b500-4b9b-b2ff-9afacfd9d2a6"/>
    <xsd:import namespace="ff648953-9008-4c41-b763-7456227ea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20101-b500-4b9b-b2ff-9afacfd9d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d0a502-75c6-45e6-acdf-f84b4c397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48953-9008-4c41-b763-7456227eae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2d7e63-36ab-4487-930a-c0a15b7033b1}" ma:internalName="TaxCatchAll" ma:showField="CatchAllData" ma:web="ff648953-9008-4c41-b763-7456227ea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620101-b500-4b9b-b2ff-9afacfd9d2a6">
      <Terms xmlns="http://schemas.microsoft.com/office/infopath/2007/PartnerControls"/>
    </lcf76f155ced4ddcb4097134ff3c332f>
    <TaxCatchAll xmlns="ff648953-9008-4c41-b763-7456227eae4a" xsi:nil="true"/>
  </documentManagement>
</p:properties>
</file>

<file path=customXml/itemProps1.xml><?xml version="1.0" encoding="utf-8"?>
<ds:datastoreItem xmlns:ds="http://schemas.openxmlformats.org/officeDocument/2006/customXml" ds:itemID="{73764125-CA4F-4DF9-AED8-912810730A29}"/>
</file>

<file path=customXml/itemProps2.xml><?xml version="1.0" encoding="utf-8"?>
<ds:datastoreItem xmlns:ds="http://schemas.openxmlformats.org/officeDocument/2006/customXml" ds:itemID="{BF52BDF6-1733-45C0-8F42-E4C6DEF5C9E7}"/>
</file>

<file path=customXml/itemProps3.xml><?xml version="1.0" encoding="utf-8"?>
<ds:datastoreItem xmlns:ds="http://schemas.openxmlformats.org/officeDocument/2006/customXml" ds:itemID="{DEEA1D5E-3311-46B5-9D26-C2864441B260}"/>
</file>

<file path=docMetadata/LabelInfo.xml><?xml version="1.0" encoding="utf-8"?>
<clbl:labelList xmlns:clbl="http://schemas.microsoft.com/office/2020/mipLabelMetadata">
  <clbl:label id="{948094c8-480e-400b-91c4-c984b7e20814}" enabled="1" method="Standard" siteId="{a1109567-0815-4e1f-88af-e23555482aa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Chinello, Gabriele</dc:creator>
  <cp:keywords/>
  <dc:description/>
  <cp:lastModifiedBy>Kurt Rasmussen</cp:lastModifiedBy>
  <cp:revision/>
  <dcterms:created xsi:type="dcterms:W3CDTF">2023-11-13T13:15:22Z</dcterms:created>
  <dcterms:modified xsi:type="dcterms:W3CDTF">2025-11-27T06:40:26Z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0x0101002CEF9A29A0F06646A03FB8B2AC9D351B</vt:lpwstr>
  </property>
  <property fmtid="{D5CDD505-2E9C-101B-9397-08002B2CF9AE}" pid="3" name="MediaServiceImageTags">
    <vt:lpwstr/>
  </property>
</Properties>
</file>